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7. 15 มี.ค. 66\"/>
    </mc:Choice>
  </mc:AlternateContent>
  <xr:revisionPtr revIDLastSave="0" documentId="13_ncr:1_{A74FB321-4D99-4706-89A9-9DC523189DEF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21" r:id="rId19"/>
    <sheet name="อุดรธานี" sheetId="19" r:id="rId20"/>
    <sheet name="อุบลราชธานี" sheetId="20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K826" i="21" s="1"/>
  <c r="J825" i="21"/>
  <c r="I825" i="21"/>
  <c r="K825" i="21" s="1"/>
  <c r="J824" i="21"/>
  <c r="I824" i="21"/>
  <c r="J823" i="21"/>
  <c r="I823" i="21"/>
  <c r="K823" i="21" s="1"/>
  <c r="J822" i="21"/>
  <c r="I822" i="21"/>
  <c r="J821" i="21"/>
  <c r="I821" i="2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N808" i="21"/>
  <c r="M808" i="21"/>
  <c r="P808" i="21" s="1"/>
  <c r="L808" i="21"/>
  <c r="O808" i="21" s="1"/>
  <c r="M807" i="21"/>
  <c r="L807" i="21"/>
  <c r="O807" i="21" s="1"/>
  <c r="P806" i="21"/>
  <c r="N806" i="21"/>
  <c r="M806" i="21"/>
  <c r="L806" i="21"/>
  <c r="K804" i="21"/>
  <c r="J804" i="21"/>
  <c r="K802" i="21"/>
  <c r="J801" i="21"/>
  <c r="J800" i="21"/>
  <c r="J785" i="21" s="1"/>
  <c r="I800" i="2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L789" i="21" s="1"/>
  <c r="O789" i="21" s="1"/>
  <c r="P790" i="21"/>
  <c r="O790" i="21"/>
  <c r="M789" i="21"/>
  <c r="P789" i="21" s="1"/>
  <c r="M788" i="21"/>
  <c r="P787" i="21"/>
  <c r="N787" i="21"/>
  <c r="M787" i="21"/>
  <c r="L787" i="21"/>
  <c r="P782" i="21"/>
  <c r="O782" i="21"/>
  <c r="P781" i="21"/>
  <c r="O781" i="21"/>
  <c r="P780" i="21"/>
  <c r="O780" i="21"/>
  <c r="N780" i="21"/>
  <c r="M780" i="21"/>
  <c r="L780" i="21"/>
  <c r="P775" i="21"/>
  <c r="O775" i="21"/>
  <c r="N775" i="21"/>
  <c r="P774" i="21"/>
  <c r="O774" i="21"/>
  <c r="O773" i="21"/>
  <c r="N773" i="21"/>
  <c r="M773" i="21"/>
  <c r="P773" i="21" s="1"/>
  <c r="L773" i="21"/>
  <c r="N772" i="21"/>
  <c r="N770" i="21" s="1"/>
  <c r="M772" i="21"/>
  <c r="P772" i="21" s="1"/>
  <c r="L772" i="21"/>
  <c r="O772" i="21" s="1"/>
  <c r="N771" i="21"/>
  <c r="M771" i="21"/>
  <c r="L771" i="21"/>
  <c r="O771" i="21" s="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P758" i="21"/>
  <c r="O758" i="21"/>
  <c r="P757" i="21"/>
  <c r="O757" i="21"/>
  <c r="N757" i="21"/>
  <c r="M757" i="21"/>
  <c r="L757" i="21"/>
  <c r="O756" i="21"/>
  <c r="N756" i="21"/>
  <c r="N754" i="21" s="1"/>
  <c r="M756" i="21"/>
  <c r="P756" i="21" s="1"/>
  <c r="L756" i="21"/>
  <c r="N755" i="21"/>
  <c r="M755" i="21"/>
  <c r="L755" i="21"/>
  <c r="O755" i="21" s="1"/>
  <c r="L754" i="21"/>
  <c r="O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P741" i="21"/>
  <c r="O741" i="21"/>
  <c r="O740" i="21"/>
  <c r="N740" i="21"/>
  <c r="M740" i="21"/>
  <c r="P740" i="21" s="1"/>
  <c r="L740" i="21"/>
  <c r="N739" i="21"/>
  <c r="N737" i="21" s="1"/>
  <c r="M739" i="21"/>
  <c r="P739" i="21" s="1"/>
  <c r="L739" i="21"/>
  <c r="O739" i="21" s="1"/>
  <c r="O738" i="21"/>
  <c r="N738" i="21"/>
  <c r="M738" i="21"/>
  <c r="L738" i="2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K700" i="21" s="1"/>
  <c r="J699" i="21"/>
  <c r="I699" i="21"/>
  <c r="P697" i="21"/>
  <c r="O697" i="21"/>
  <c r="P696" i="21"/>
  <c r="O696" i="21"/>
  <c r="N695" i="21"/>
  <c r="M695" i="21"/>
  <c r="P695" i="21" s="1"/>
  <c r="L695" i="21"/>
  <c r="O695" i="21" s="1"/>
  <c r="P690" i="21"/>
  <c r="N690" i="21"/>
  <c r="L690" i="21"/>
  <c r="L687" i="21" s="1"/>
  <c r="O687" i="21" s="1"/>
  <c r="N688" i="21"/>
  <c r="M688" i="21"/>
  <c r="P688" i="21" s="1"/>
  <c r="N687" i="21"/>
  <c r="M687" i="21"/>
  <c r="P686" i="21"/>
  <c r="N686" i="21"/>
  <c r="M686" i="21"/>
  <c r="L686" i="21"/>
  <c r="N685" i="21"/>
  <c r="J679" i="21"/>
  <c r="J678" i="21" s="1"/>
  <c r="I678" i="21"/>
  <c r="K678" i="21" s="1"/>
  <c r="J675" i="21"/>
  <c r="I671" i="21"/>
  <c r="K671" i="21" s="1"/>
  <c r="I670" i="21"/>
  <c r="K670" i="21" s="1"/>
  <c r="J669" i="21"/>
  <c r="I669" i="21"/>
  <c r="K673" i="21" s="1"/>
  <c r="P667" i="21"/>
  <c r="O667" i="21"/>
  <c r="P666" i="21"/>
  <c r="O666" i="21"/>
  <c r="N665" i="21"/>
  <c r="M665" i="21"/>
  <c r="P665" i="21" s="1"/>
  <c r="L665" i="21"/>
  <c r="O665" i="21" s="1"/>
  <c r="P660" i="21"/>
  <c r="N660" i="21"/>
  <c r="L660" i="21"/>
  <c r="O660" i="21" s="1"/>
  <c r="P659" i="21"/>
  <c r="O659" i="21"/>
  <c r="N658" i="21"/>
  <c r="M658" i="21"/>
  <c r="P658" i="21" s="1"/>
  <c r="P657" i="21"/>
  <c r="N657" i="21"/>
  <c r="M657" i="21"/>
  <c r="P656" i="21"/>
  <c r="O656" i="21"/>
  <c r="N656" i="21"/>
  <c r="M656" i="21"/>
  <c r="L656" i="21"/>
  <c r="N655" i="21"/>
  <c r="M655" i="21"/>
  <c r="P655" i="21" s="1"/>
  <c r="J654" i="2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N639" i="21"/>
  <c r="M639" i="21"/>
  <c r="P639" i="21" s="1"/>
  <c r="P634" i="21"/>
  <c r="N634" i="21"/>
  <c r="L634" i="21"/>
  <c r="P633" i="21"/>
  <c r="O633" i="21"/>
  <c r="N632" i="21"/>
  <c r="M632" i="21"/>
  <c r="P632" i="21" s="1"/>
  <c r="N631" i="21"/>
  <c r="M631" i="21"/>
  <c r="P631" i="21" s="1"/>
  <c r="P630" i="21"/>
  <c r="O630" i="21"/>
  <c r="N630" i="21"/>
  <c r="M630" i="21"/>
  <c r="L630" i="21"/>
  <c r="P629" i="21"/>
  <c r="N629" i="21"/>
  <c r="M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6" i="21"/>
  <c r="J594" i="21" s="1"/>
  <c r="J595" i="21"/>
  <c r="I594" i="21"/>
  <c r="J593" i="21"/>
  <c r="J592" i="21" s="1"/>
  <c r="I593" i="21"/>
  <c r="I592" i="21" s="1"/>
  <c r="K592" i="21" s="1"/>
  <c r="J583" i="21"/>
  <c r="J582" i="21"/>
  <c r="J577" i="21"/>
  <c r="I577" i="21"/>
  <c r="J576" i="21"/>
  <c r="I576" i="21"/>
  <c r="I559" i="21" s="1"/>
  <c r="J569" i="21"/>
  <c r="I569" i="21"/>
  <c r="J568" i="21"/>
  <c r="I568" i="21"/>
  <c r="K568" i="21" s="1"/>
  <c r="J561" i="21"/>
  <c r="I561" i="21"/>
  <c r="J560" i="21"/>
  <c r="I560" i="21"/>
  <c r="K560" i="21" s="1"/>
  <c r="J559" i="21"/>
  <c r="J543" i="21" s="1"/>
  <c r="P557" i="21"/>
  <c r="L557" i="21"/>
  <c r="L555" i="21" s="1"/>
  <c r="O555" i="21" s="1"/>
  <c r="P556" i="21"/>
  <c r="O556" i="21"/>
  <c r="N555" i="21"/>
  <c r="M555" i="21"/>
  <c r="P555" i="21" s="1"/>
  <c r="P549" i="21"/>
  <c r="N549" i="21"/>
  <c r="N546" i="21" s="1"/>
  <c r="L549" i="21"/>
  <c r="O549" i="21" s="1"/>
  <c r="P548" i="21"/>
  <c r="O548" i="21"/>
  <c r="P547" i="21"/>
  <c r="N547" i="21"/>
  <c r="M547" i="21"/>
  <c r="M546" i="21"/>
  <c r="P546" i="21" s="1"/>
  <c r="P545" i="21"/>
  <c r="N545" i="21"/>
  <c r="N544" i="21" s="1"/>
  <c r="M545" i="21"/>
  <c r="L545" i="21"/>
  <c r="M544" i="21"/>
  <c r="P544" i="21" s="1"/>
  <c r="I542" i="21"/>
  <c r="K542" i="21" s="1"/>
  <c r="I541" i="21"/>
  <c r="K541" i="21" s="1"/>
  <c r="I540" i="21"/>
  <c r="K540" i="21" s="1"/>
  <c r="I539" i="21"/>
  <c r="I538" i="21"/>
  <c r="K538" i="21" s="1"/>
  <c r="I537" i="21"/>
  <c r="K537" i="21" s="1"/>
  <c r="P535" i="21"/>
  <c r="L535" i="21"/>
  <c r="O535" i="21" s="1"/>
  <c r="P534" i="21"/>
  <c r="O534" i="21"/>
  <c r="N533" i="21"/>
  <c r="M533" i="21"/>
  <c r="P533" i="21" s="1"/>
  <c r="P528" i="21"/>
  <c r="N528" i="21"/>
  <c r="N525" i="21" s="1"/>
  <c r="N523" i="21" s="1"/>
  <c r="L528" i="21"/>
  <c r="O528" i="21" s="1"/>
  <c r="P527" i="21"/>
  <c r="O527" i="21"/>
  <c r="P526" i="21"/>
  <c r="N526" i="21"/>
  <c r="M526" i="21"/>
  <c r="M525" i="21"/>
  <c r="N524" i="21"/>
  <c r="M524" i="21"/>
  <c r="P524" i="21" s="1"/>
  <c r="L524" i="21"/>
  <c r="K517" i="21"/>
  <c r="J517" i="21"/>
  <c r="K516" i="21"/>
  <c r="P514" i="21"/>
  <c r="O514" i="21"/>
  <c r="P513" i="21"/>
  <c r="O513" i="21"/>
  <c r="O512" i="21"/>
  <c r="N512" i="21"/>
  <c r="M512" i="21"/>
  <c r="P512" i="21" s="1"/>
  <c r="L512" i="21"/>
  <c r="P507" i="21"/>
  <c r="O507" i="21"/>
  <c r="N507" i="21"/>
  <c r="N504" i="21" s="1"/>
  <c r="N502" i="21" s="1"/>
  <c r="P506" i="21"/>
  <c r="O506" i="21"/>
  <c r="M505" i="21"/>
  <c r="P505" i="21" s="1"/>
  <c r="L505" i="21"/>
  <c r="O505" i="21" s="1"/>
  <c r="M504" i="21"/>
  <c r="P504" i="21" s="1"/>
  <c r="L504" i="21"/>
  <c r="O504" i="21" s="1"/>
  <c r="P503" i="21"/>
  <c r="N503" i="21"/>
  <c r="M503" i="21"/>
  <c r="M502" i="21" s="1"/>
  <c r="P502" i="21" s="1"/>
  <c r="L503" i="21"/>
  <c r="O503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P472" i="21"/>
  <c r="N472" i="21"/>
  <c r="L472" i="21"/>
  <c r="O472" i="21" s="1"/>
  <c r="P471" i="21"/>
  <c r="O471" i="21"/>
  <c r="N470" i="21"/>
  <c r="M470" i="21"/>
  <c r="P470" i="21" s="1"/>
  <c r="N469" i="21"/>
  <c r="M469" i="21"/>
  <c r="P469" i="21" s="1"/>
  <c r="P468" i="21"/>
  <c r="N468" i="21"/>
  <c r="M468" i="21"/>
  <c r="L468" i="21"/>
  <c r="O468" i="21" s="1"/>
  <c r="N467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60" i="21" s="1"/>
  <c r="K458" i="21"/>
  <c r="P456" i="21"/>
  <c r="L456" i="21"/>
  <c r="L454" i="21" s="1"/>
  <c r="O454" i="21" s="1"/>
  <c r="P455" i="21"/>
  <c r="O455" i="21"/>
  <c r="N454" i="21"/>
  <c r="M454" i="21"/>
  <c r="P454" i="21" s="1"/>
  <c r="P449" i="21"/>
  <c r="N449" i="21"/>
  <c r="N446" i="21" s="1"/>
  <c r="N444" i="21" s="1"/>
  <c r="L449" i="21"/>
  <c r="P448" i="21"/>
  <c r="O448" i="21"/>
  <c r="N447" i="21"/>
  <c r="M447" i="21"/>
  <c r="P447" i="21" s="1"/>
  <c r="M446" i="21"/>
  <c r="P446" i="21" s="1"/>
  <c r="N445" i="21"/>
  <c r="M445" i="21"/>
  <c r="P445" i="21" s="1"/>
  <c r="L445" i="21"/>
  <c r="O445" i="21" s="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J434" i="21"/>
  <c r="J418" i="21" s="1"/>
  <c r="P431" i="21"/>
  <c r="L431" i="21"/>
  <c r="L429" i="21" s="1"/>
  <c r="O429" i="21" s="1"/>
  <c r="P430" i="21"/>
  <c r="O430" i="21"/>
  <c r="N429" i="21"/>
  <c r="M429" i="21"/>
  <c r="P429" i="21" s="1"/>
  <c r="P424" i="21"/>
  <c r="N424" i="21"/>
  <c r="N421" i="21" s="1"/>
  <c r="L424" i="21"/>
  <c r="P423" i="21"/>
  <c r="O423" i="21"/>
  <c r="N422" i="21"/>
  <c r="M422" i="21"/>
  <c r="P422" i="21" s="1"/>
  <c r="M421" i="21"/>
  <c r="P421" i="21" s="1"/>
  <c r="P420" i="21"/>
  <c r="N420" i="21"/>
  <c r="N419" i="21" s="1"/>
  <c r="M420" i="21"/>
  <c r="L420" i="21"/>
  <c r="O420" i="21" s="1"/>
  <c r="P419" i="21"/>
  <c r="M419" i="21"/>
  <c r="K413" i="21"/>
  <c r="K412" i="21"/>
  <c r="N410" i="21"/>
  <c r="N408" i="21" s="1"/>
  <c r="M410" i="21"/>
  <c r="L410" i="21"/>
  <c r="O410" i="21" s="1"/>
  <c r="P409" i="21"/>
  <c r="O409" i="21"/>
  <c r="N407" i="21"/>
  <c r="M407" i="21"/>
  <c r="P407" i="21" s="1"/>
  <c r="L407" i="21"/>
  <c r="O407" i="21" s="1"/>
  <c r="P406" i="21"/>
  <c r="O406" i="21"/>
  <c r="P403" i="21"/>
  <c r="O403" i="21"/>
  <c r="N403" i="21"/>
  <c r="M403" i="21"/>
  <c r="L403" i="21"/>
  <c r="K401" i="21"/>
  <c r="J401" i="21"/>
  <c r="I401" i="21"/>
  <c r="K400" i="21"/>
  <c r="K399" i="21"/>
  <c r="N397" i="21"/>
  <c r="N395" i="21" s="1"/>
  <c r="M397" i="21"/>
  <c r="P397" i="21" s="1"/>
  <c r="L397" i="21"/>
  <c r="P396" i="21"/>
  <c r="O396" i="21"/>
  <c r="N394" i="21"/>
  <c r="N392" i="21" s="1"/>
  <c r="M394" i="21"/>
  <c r="P394" i="21" s="1"/>
  <c r="L394" i="21"/>
  <c r="P393" i="21"/>
  <c r="O393" i="21"/>
  <c r="P390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P352" i="21"/>
  <c r="O352" i="21"/>
  <c r="N350" i="21"/>
  <c r="N348" i="21" s="1"/>
  <c r="M350" i="21"/>
  <c r="M348" i="21" s="1"/>
  <c r="L350" i="21"/>
  <c r="L347" i="21" s="1"/>
  <c r="P349" i="21"/>
  <c r="O349" i="21"/>
  <c r="P346" i="21"/>
  <c r="N346" i="21"/>
  <c r="M346" i="21"/>
  <c r="L346" i="21"/>
  <c r="O346" i="21" s="1"/>
  <c r="J343" i="21"/>
  <c r="J342" i="21"/>
  <c r="J341" i="21"/>
  <c r="J340" i="21"/>
  <c r="I340" i="21"/>
  <c r="J338" i="21"/>
  <c r="I338" i="21"/>
  <c r="N336" i="21"/>
  <c r="M336" i="21"/>
  <c r="P336" i="21" s="1"/>
  <c r="L336" i="21"/>
  <c r="P335" i="21"/>
  <c r="O335" i="21"/>
  <c r="N333" i="21"/>
  <c r="N331" i="21" s="1"/>
  <c r="M333" i="21"/>
  <c r="L333" i="21"/>
  <c r="P332" i="21"/>
  <c r="O332" i="21"/>
  <c r="P329" i="21"/>
  <c r="N329" i="21"/>
  <c r="M329" i="21"/>
  <c r="L329" i="21"/>
  <c r="O329" i="21" s="1"/>
  <c r="I327" i="21"/>
  <c r="I325" i="21"/>
  <c r="K325" i="21" s="1"/>
  <c r="N323" i="21"/>
  <c r="N321" i="21" s="1"/>
  <c r="M323" i="21"/>
  <c r="M321" i="21" s="1"/>
  <c r="P321" i="21" s="1"/>
  <c r="L323" i="21"/>
  <c r="O323" i="21" s="1"/>
  <c r="P322" i="21"/>
  <c r="O322" i="21"/>
  <c r="N320" i="21"/>
  <c r="N318" i="21" s="1"/>
  <c r="M320" i="21"/>
  <c r="M318" i="21" s="1"/>
  <c r="P318" i="21" s="1"/>
  <c r="L320" i="21"/>
  <c r="O320" i="21" s="1"/>
  <c r="P319" i="21"/>
  <c r="O319" i="21"/>
  <c r="N316" i="21"/>
  <c r="M316" i="21"/>
  <c r="L316" i="21"/>
  <c r="O316" i="21" s="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P306" i="21" s="1"/>
  <c r="L306" i="21"/>
  <c r="O306" i="21" s="1"/>
  <c r="P305" i="21"/>
  <c r="O305" i="21"/>
  <c r="N303" i="21"/>
  <c r="M303" i="21"/>
  <c r="P303" i="21" s="1"/>
  <c r="L303" i="21"/>
  <c r="O303" i="21" s="1"/>
  <c r="P302" i="21"/>
  <c r="O302" i="21"/>
  <c r="O299" i="21"/>
  <c r="N299" i="21"/>
  <c r="M299" i="21"/>
  <c r="P299" i="21" s="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K288" i="21" s="1"/>
  <c r="I287" i="21"/>
  <c r="K287" i="21" s="1"/>
  <c r="N285" i="21"/>
  <c r="N283" i="21" s="1"/>
  <c r="M285" i="21"/>
  <c r="P285" i="21" s="1"/>
  <c r="L285" i="21"/>
  <c r="O285" i="21" s="1"/>
  <c r="P284" i="21"/>
  <c r="O284" i="21"/>
  <c r="N282" i="21"/>
  <c r="N280" i="21" s="1"/>
  <c r="M282" i="21"/>
  <c r="P282" i="21" s="1"/>
  <c r="L282" i="21"/>
  <c r="O282" i="21" s="1"/>
  <c r="P281" i="21"/>
  <c r="O281" i="21"/>
  <c r="P278" i="21"/>
  <c r="N278" i="21"/>
  <c r="M278" i="21"/>
  <c r="L278" i="21"/>
  <c r="O278" i="21" s="1"/>
  <c r="J276" i="21"/>
  <c r="I271" i="21"/>
  <c r="K271" i="21" s="1"/>
  <c r="N269" i="21"/>
  <c r="N267" i="21" s="1"/>
  <c r="M269" i="21"/>
  <c r="P269" i="21" s="1"/>
  <c r="L269" i="21"/>
  <c r="O269" i="21" s="1"/>
  <c r="P268" i="21"/>
  <c r="O268" i="21"/>
  <c r="N266" i="21"/>
  <c r="N264" i="21" s="1"/>
  <c r="M266" i="21"/>
  <c r="L266" i="21"/>
  <c r="L264" i="21" s="1"/>
  <c r="P265" i="21"/>
  <c r="O265" i="21"/>
  <c r="O262" i="21"/>
  <c r="N262" i="21"/>
  <c r="M262" i="21"/>
  <c r="P262" i="21" s="1"/>
  <c r="L262" i="21"/>
  <c r="J260" i="21"/>
  <c r="K258" i="21"/>
  <c r="K257" i="21"/>
  <c r="I255" i="21"/>
  <c r="K255" i="21" s="1"/>
  <c r="L253" i="21"/>
  <c r="L252" i="21"/>
  <c r="L251" i="21"/>
  <c r="L250" i="21"/>
  <c r="P249" i="21"/>
  <c r="N249" i="21"/>
  <c r="J248" i="21"/>
  <c r="K247" i="21"/>
  <c r="K246" i="21"/>
  <c r="I244" i="21"/>
  <c r="L242" i="21"/>
  <c r="L231" i="21" s="1"/>
  <c r="L241" i="21"/>
  <c r="L240" i="21"/>
  <c r="L239" i="21"/>
  <c r="P238" i="21"/>
  <c r="N238" i="21"/>
  <c r="J237" i="21"/>
  <c r="K236" i="21"/>
  <c r="J236" i="21"/>
  <c r="I236" i="21"/>
  <c r="K235" i="21"/>
  <c r="J235" i="21"/>
  <c r="I235" i="21"/>
  <c r="J233" i="21"/>
  <c r="N231" i="21"/>
  <c r="N230" i="21"/>
  <c r="N229" i="21"/>
  <c r="N228" i="21"/>
  <c r="N227" i="21"/>
  <c r="J226" i="21"/>
  <c r="I225" i="21"/>
  <c r="K225" i="21" s="1"/>
  <c r="I224" i="21"/>
  <c r="I216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M187" i="21" s="1"/>
  <c r="P187" i="21" s="1"/>
  <c r="L189" i="21"/>
  <c r="L187" i="21" s="1"/>
  <c r="O187" i="21" s="1"/>
  <c r="P188" i="21"/>
  <c r="O188" i="21"/>
  <c r="N186" i="21"/>
  <c r="N184" i="21" s="1"/>
  <c r="M186" i="21"/>
  <c r="M184" i="21" s="1"/>
  <c r="L186" i="21"/>
  <c r="L184" i="21" s="1"/>
  <c r="P185" i="21"/>
  <c r="O185" i="21"/>
  <c r="N182" i="21"/>
  <c r="M182" i="21"/>
  <c r="L182" i="21"/>
  <c r="O182" i="21" s="1"/>
  <c r="J180" i="21"/>
  <c r="J177" i="21"/>
  <c r="I176" i="21"/>
  <c r="J174" i="21"/>
  <c r="N173" i="21"/>
  <c r="N171" i="21" s="1"/>
  <c r="M173" i="21"/>
  <c r="P173" i="21" s="1"/>
  <c r="L173" i="21"/>
  <c r="P172" i="21"/>
  <c r="O172" i="21"/>
  <c r="N170" i="21"/>
  <c r="N168" i="21" s="1"/>
  <c r="M170" i="21"/>
  <c r="L170" i="21"/>
  <c r="P169" i="21"/>
  <c r="O169" i="21"/>
  <c r="O166" i="21"/>
  <c r="N166" i="21"/>
  <c r="M166" i="21"/>
  <c r="P166" i="21" s="1"/>
  <c r="L166" i="21"/>
  <c r="J164" i="21"/>
  <c r="I159" i="21"/>
  <c r="I148" i="21" s="1"/>
  <c r="K148" i="21" s="1"/>
  <c r="N157" i="21"/>
  <c r="N155" i="21" s="1"/>
  <c r="M157" i="21"/>
  <c r="P157" i="21" s="1"/>
  <c r="L157" i="21"/>
  <c r="L155" i="21" s="1"/>
  <c r="O155" i="21" s="1"/>
  <c r="P156" i="21"/>
  <c r="O156" i="21"/>
  <c r="N154" i="21"/>
  <c r="N152" i="21" s="1"/>
  <c r="M154" i="21"/>
  <c r="P154" i="21" s="1"/>
  <c r="L154" i="21"/>
  <c r="L152" i="21" s="1"/>
  <c r="O152" i="21" s="1"/>
  <c r="P153" i="21"/>
  <c r="O153" i="21"/>
  <c r="O150" i="21"/>
  <c r="N150" i="21"/>
  <c r="M150" i="21"/>
  <c r="L150" i="21"/>
  <c r="J148" i="21"/>
  <c r="I146" i="21"/>
  <c r="K146" i="21" s="1"/>
  <c r="I145" i="21"/>
  <c r="I143" i="21" s="1"/>
  <c r="I144" i="21"/>
  <c r="N140" i="21"/>
  <c r="N138" i="21" s="1"/>
  <c r="M140" i="21"/>
  <c r="P140" i="21" s="1"/>
  <c r="L140" i="21"/>
  <c r="O140" i="21" s="1"/>
  <c r="P139" i="21"/>
  <c r="O139" i="21"/>
  <c r="N137" i="21"/>
  <c r="N134" i="21" s="1"/>
  <c r="M137" i="21"/>
  <c r="P137" i="21" s="1"/>
  <c r="L137" i="21"/>
  <c r="O137" i="21" s="1"/>
  <c r="P136" i="21"/>
  <c r="O136" i="21"/>
  <c r="P133" i="21"/>
  <c r="N133" i="21"/>
  <c r="M133" i="21"/>
  <c r="L133" i="21"/>
  <c r="O133" i="21" s="1"/>
  <c r="J130" i="21"/>
  <c r="N127" i="21"/>
  <c r="N125" i="21" s="1"/>
  <c r="M127" i="21"/>
  <c r="P127" i="21" s="1"/>
  <c r="L127" i="21"/>
  <c r="L125" i="21" s="1"/>
  <c r="O125" i="21" s="1"/>
  <c r="P126" i="21"/>
  <c r="O126" i="21"/>
  <c r="N124" i="21"/>
  <c r="N122" i="21" s="1"/>
  <c r="M124" i="21"/>
  <c r="P124" i="21" s="1"/>
  <c r="L124" i="21"/>
  <c r="L122" i="21" s="1"/>
  <c r="O122" i="21" s="1"/>
  <c r="P123" i="21"/>
  <c r="O123" i="21"/>
  <c r="O120" i="21"/>
  <c r="N120" i="21"/>
  <c r="M120" i="2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I99" i="21"/>
  <c r="I87" i="21" s="1"/>
  <c r="J98" i="21"/>
  <c r="J86" i="21" s="1"/>
  <c r="I98" i="21"/>
  <c r="K98" i="21" s="1"/>
  <c r="N96" i="21"/>
  <c r="N94" i="21" s="1"/>
  <c r="M96" i="21"/>
  <c r="L96" i="21"/>
  <c r="P95" i="21"/>
  <c r="O95" i="21"/>
  <c r="N93" i="21"/>
  <c r="N91" i="21" s="1"/>
  <c r="M93" i="21"/>
  <c r="M91" i="21" s="1"/>
  <c r="L93" i="21"/>
  <c r="P92" i="21"/>
  <c r="O92" i="21"/>
  <c r="O89" i="21"/>
  <c r="N89" i="21"/>
  <c r="M89" i="21"/>
  <c r="P89" i="21" s="1"/>
  <c r="L89" i="21"/>
  <c r="J87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K78" i="21" s="1"/>
  <c r="J77" i="21"/>
  <c r="J65" i="21" s="1"/>
  <c r="J76" i="21"/>
  <c r="N74" i="21"/>
  <c r="N72" i="21" s="1"/>
  <c r="M74" i="21"/>
  <c r="P74" i="21" s="1"/>
  <c r="L74" i="21"/>
  <c r="O74" i="21" s="1"/>
  <c r="P73" i="21"/>
  <c r="O73" i="21"/>
  <c r="N71" i="21"/>
  <c r="N69" i="21" s="1"/>
  <c r="M71" i="21"/>
  <c r="L71" i="21"/>
  <c r="P70" i="21"/>
  <c r="O70" i="21"/>
  <c r="P67" i="21"/>
  <c r="N67" i="21"/>
  <c r="M67" i="21"/>
  <c r="L67" i="21"/>
  <c r="O67" i="21" s="1"/>
  <c r="J64" i="21"/>
  <c r="N61" i="21"/>
  <c r="M61" i="21"/>
  <c r="P61" i="21" s="1"/>
  <c r="L61" i="21"/>
  <c r="L59" i="21" s="1"/>
  <c r="O59" i="21" s="1"/>
  <c r="P60" i="21"/>
  <c r="O60" i="21"/>
  <c r="N58" i="21"/>
  <c r="M58" i="21"/>
  <c r="M56" i="21" s="1"/>
  <c r="L58" i="21"/>
  <c r="P57" i="21"/>
  <c r="O57" i="21"/>
  <c r="O54" i="21"/>
  <c r="N54" i="21"/>
  <c r="M54" i="21"/>
  <c r="L54" i="21"/>
  <c r="N49" i="21"/>
  <c r="M49" i="21"/>
  <c r="P49" i="21" s="1"/>
  <c r="L49" i="21"/>
  <c r="O49" i="21" s="1"/>
  <c r="P48" i="21"/>
  <c r="O48" i="21"/>
  <c r="N46" i="21"/>
  <c r="N44" i="21" s="1"/>
  <c r="M46" i="21"/>
  <c r="L46" i="21"/>
  <c r="L44" i="21" s="1"/>
  <c r="P45" i="21"/>
  <c r="O45" i="21"/>
  <c r="P42" i="21"/>
  <c r="N42" i="21"/>
  <c r="M42" i="21"/>
  <c r="L42" i="21"/>
  <c r="O42" i="21" s="1"/>
  <c r="N36" i="21"/>
  <c r="M36" i="21"/>
  <c r="P35" i="21"/>
  <c r="N35" i="21"/>
  <c r="N34" i="21" s="1"/>
  <c r="M35" i="21"/>
  <c r="L35" i="21"/>
  <c r="P33" i="21"/>
  <c r="N33" i="21"/>
  <c r="N30" i="21" s="1"/>
  <c r="M33" i="21"/>
  <c r="O32" i="21"/>
  <c r="N32" i="21"/>
  <c r="M32" i="21"/>
  <c r="M31" i="21" s="1"/>
  <c r="P31" i="21" s="1"/>
  <c r="L32" i="21"/>
  <c r="N31" i="21"/>
  <c r="N29" i="21"/>
  <c r="N28" i="21" s="1"/>
  <c r="L29" i="21"/>
  <c r="O25" i="21"/>
  <c r="N25" i="21"/>
  <c r="M25" i="21"/>
  <c r="L25" i="21"/>
  <c r="P22" i="21"/>
  <c r="N22" i="21"/>
  <c r="N19" i="21" s="1"/>
  <c r="M22" i="21"/>
  <c r="L22" i="21"/>
  <c r="M19" i="21"/>
  <c r="N15" i="21"/>
  <c r="L15" i="21"/>
  <c r="M12" i="21"/>
  <c r="K822" i="21" l="1"/>
  <c r="K828" i="21"/>
  <c r="I275" i="21"/>
  <c r="K275" i="21" s="1"/>
  <c r="J722" i="21"/>
  <c r="M68" i="21"/>
  <c r="M66" i="21" s="1"/>
  <c r="L209" i="21"/>
  <c r="O209" i="21" s="1"/>
  <c r="P46" i="21"/>
  <c r="K374" i="21"/>
  <c r="L631" i="21"/>
  <c r="O631" i="21" s="1"/>
  <c r="L408" i="21"/>
  <c r="O408" i="21" s="1"/>
  <c r="L167" i="21"/>
  <c r="L165" i="21" s="1"/>
  <c r="L68" i="21"/>
  <c r="L66" i="21" s="1"/>
  <c r="I130" i="21"/>
  <c r="K130" i="21" s="1"/>
  <c r="L230" i="21"/>
  <c r="M263" i="21"/>
  <c r="M261" i="21" s="1"/>
  <c r="P261" i="21" s="1"/>
  <c r="M334" i="21"/>
  <c r="P334" i="21" s="1"/>
  <c r="K359" i="21"/>
  <c r="I443" i="21"/>
  <c r="K443" i="21" s="1"/>
  <c r="K649" i="21"/>
  <c r="L121" i="21"/>
  <c r="O121" i="21" s="1"/>
  <c r="L318" i="21"/>
  <c r="O318" i="21" s="1"/>
  <c r="P170" i="21"/>
  <c r="I197" i="21"/>
  <c r="K197" i="21" s="1"/>
  <c r="L228" i="21"/>
  <c r="N263" i="21"/>
  <c r="N261" i="21" s="1"/>
  <c r="K647" i="21"/>
  <c r="M43" i="21"/>
  <c r="L55" i="21"/>
  <c r="L53" i="21" s="1"/>
  <c r="M152" i="21"/>
  <c r="P152" i="21" s="1"/>
  <c r="M167" i="21"/>
  <c r="M165" i="21" s="1"/>
  <c r="K372" i="21"/>
  <c r="L43" i="21"/>
  <c r="L41" i="21" s="1"/>
  <c r="M304" i="21"/>
  <c r="P304" i="21" s="1"/>
  <c r="L280" i="21"/>
  <c r="O280" i="21" s="1"/>
  <c r="I654" i="21"/>
  <c r="K654" i="21" s="1"/>
  <c r="I208" i="21"/>
  <c r="K208" i="21" s="1"/>
  <c r="I86" i="21"/>
  <c r="K86" i="21" s="1"/>
  <c r="M121" i="21"/>
  <c r="P121" i="21" s="1"/>
  <c r="M168" i="21"/>
  <c r="P168" i="21" s="1"/>
  <c r="I260" i="21"/>
  <c r="K260" i="21" s="1"/>
  <c r="O266" i="21"/>
  <c r="M280" i="21"/>
  <c r="P280" i="21" s="1"/>
  <c r="L283" i="21"/>
  <c r="O283" i="21" s="1"/>
  <c r="N300" i="21"/>
  <c r="N298" i="21" s="1"/>
  <c r="M317" i="21"/>
  <c r="P317" i="21" s="1"/>
  <c r="P333" i="21"/>
  <c r="K385" i="21"/>
  <c r="L658" i="21"/>
  <c r="O658" i="21" s="1"/>
  <c r="L47" i="21"/>
  <c r="O47" i="21" s="1"/>
  <c r="M122" i="21"/>
  <c r="P122" i="21" s="1"/>
  <c r="M125" i="21"/>
  <c r="P125" i="21" s="1"/>
  <c r="L183" i="21"/>
  <c r="L181" i="21" s="1"/>
  <c r="M300" i="21"/>
  <c r="P300" i="21" s="1"/>
  <c r="M405" i="21"/>
  <c r="P405" i="21" s="1"/>
  <c r="M404" i="21"/>
  <c r="M402" i="21" s="1"/>
  <c r="P402" i="21" s="1"/>
  <c r="K674" i="21"/>
  <c r="L135" i="21"/>
  <c r="O135" i="21" s="1"/>
  <c r="M183" i="21"/>
  <c r="O189" i="21"/>
  <c r="L321" i="21"/>
  <c r="O321" i="21" s="1"/>
  <c r="L657" i="21"/>
  <c r="O657" i="21" s="1"/>
  <c r="L267" i="21"/>
  <c r="O267" i="21" s="1"/>
  <c r="M392" i="21"/>
  <c r="P392" i="21" s="1"/>
  <c r="M408" i="21"/>
  <c r="P408" i="21" s="1"/>
  <c r="N55" i="21"/>
  <c r="N53" i="21" s="1"/>
  <c r="I364" i="21"/>
  <c r="K379" i="21"/>
  <c r="L446" i="21"/>
  <c r="O446" i="21" s="1"/>
  <c r="L470" i="21"/>
  <c r="O470" i="21" s="1"/>
  <c r="M55" i="21"/>
  <c r="N68" i="21"/>
  <c r="L90" i="21"/>
  <c r="L88" i="21" s="1"/>
  <c r="M90" i="21"/>
  <c r="M88" i="21" s="1"/>
  <c r="N135" i="21"/>
  <c r="M155" i="21"/>
  <c r="P155" i="21" s="1"/>
  <c r="L238" i="21"/>
  <c r="O238" i="21" s="1"/>
  <c r="M264" i="21"/>
  <c r="P264" i="21" s="1"/>
  <c r="L279" i="21"/>
  <c r="O279" i="21" s="1"/>
  <c r="M301" i="21"/>
  <c r="P301" i="21" s="1"/>
  <c r="L304" i="21"/>
  <c r="O304" i="21" s="1"/>
  <c r="K338" i="21"/>
  <c r="K370" i="21"/>
  <c r="P410" i="21"/>
  <c r="M23" i="21"/>
  <c r="M13" i="21" s="1"/>
  <c r="M11" i="21" s="1"/>
  <c r="P93" i="21"/>
  <c r="P266" i="21"/>
  <c r="N279" i="21"/>
  <c r="N277" i="21" s="1"/>
  <c r="K340" i="21"/>
  <c r="J365" i="21"/>
  <c r="J364" i="21" s="1"/>
  <c r="K381" i="21"/>
  <c r="J433" i="21"/>
  <c r="J417" i="21" s="1"/>
  <c r="L525" i="21"/>
  <c r="O525" i="21" s="1"/>
  <c r="K821" i="21"/>
  <c r="K824" i="21"/>
  <c r="K827" i="21"/>
  <c r="O46" i="21"/>
  <c r="L263" i="21"/>
  <c r="L330" i="21"/>
  <c r="P353" i="21"/>
  <c r="N404" i="21"/>
  <c r="N402" i="21" s="1"/>
  <c r="L134" i="21"/>
  <c r="O134" i="21" s="1"/>
  <c r="K355" i="21"/>
  <c r="I276" i="21"/>
  <c r="K276" i="21" s="1"/>
  <c r="O44" i="21"/>
  <c r="N43" i="21"/>
  <c r="M151" i="21"/>
  <c r="P151" i="21" s="1"/>
  <c r="O184" i="21"/>
  <c r="I314" i="21"/>
  <c r="K314" i="21" s="1"/>
  <c r="N330" i="21"/>
  <c r="N328" i="21" s="1"/>
  <c r="K360" i="21"/>
  <c r="K369" i="21"/>
  <c r="L36" i="21"/>
  <c r="O36" i="21" s="1"/>
  <c r="L639" i="21"/>
  <c r="O639" i="21" s="1"/>
  <c r="K699" i="21"/>
  <c r="J721" i="21"/>
  <c r="K143" i="21"/>
  <c r="I131" i="21"/>
  <c r="K131" i="21" s="1"/>
  <c r="N47" i="21"/>
  <c r="P71" i="21"/>
  <c r="K99" i="21"/>
  <c r="L138" i="21"/>
  <c r="O138" i="21" s="1"/>
  <c r="K145" i="21"/>
  <c r="K159" i="21"/>
  <c r="M171" i="21"/>
  <c r="P171" i="21" s="1"/>
  <c r="I190" i="21"/>
  <c r="K190" i="21" s="1"/>
  <c r="L198" i="21"/>
  <c r="O198" i="21" s="1"/>
  <c r="L217" i="21"/>
  <c r="O217" i="21" s="1"/>
  <c r="K224" i="21"/>
  <c r="I248" i="21"/>
  <c r="K248" i="21" s="1"/>
  <c r="M267" i="21"/>
  <c r="P267" i="21" s="1"/>
  <c r="M283" i="21"/>
  <c r="P283" i="21" s="1"/>
  <c r="N301" i="21"/>
  <c r="L317" i="21"/>
  <c r="N334" i="21"/>
  <c r="L404" i="21"/>
  <c r="N405" i="21"/>
  <c r="O431" i="21"/>
  <c r="K435" i="21"/>
  <c r="I442" i="21"/>
  <c r="K442" i="21" s="1"/>
  <c r="O456" i="21"/>
  <c r="L526" i="21"/>
  <c r="O526" i="21" s="1"/>
  <c r="K569" i="21"/>
  <c r="K651" i="21"/>
  <c r="I522" i="21"/>
  <c r="K522" i="21" s="1"/>
  <c r="L33" i="21"/>
  <c r="O33" i="21" s="1"/>
  <c r="L69" i="21"/>
  <c r="O69" i="21" s="1"/>
  <c r="M94" i="21"/>
  <c r="P94" i="21" s="1"/>
  <c r="P96" i="21"/>
  <c r="M134" i="21"/>
  <c r="P263" i="21"/>
  <c r="M279" i="21"/>
  <c r="P279" i="21" s="1"/>
  <c r="L300" i="21"/>
  <c r="M347" i="21"/>
  <c r="M391" i="21"/>
  <c r="K594" i="21"/>
  <c r="O690" i="21"/>
  <c r="O71" i="21"/>
  <c r="O264" i="21"/>
  <c r="N317" i="21"/>
  <c r="N315" i="21" s="1"/>
  <c r="M330" i="21"/>
  <c r="M328" i="21" s="1"/>
  <c r="N347" i="21"/>
  <c r="N345" i="21" s="1"/>
  <c r="P350" i="21"/>
  <c r="K378" i="21"/>
  <c r="N391" i="21"/>
  <c r="N389" i="21" s="1"/>
  <c r="L421" i="21"/>
  <c r="O421" i="21" s="1"/>
  <c r="I433" i="21"/>
  <c r="I417" i="21" s="1"/>
  <c r="O557" i="21"/>
  <c r="K561" i="21"/>
  <c r="L688" i="21"/>
  <c r="O688" i="21" s="1"/>
  <c r="N23" i="21"/>
  <c r="M59" i="21"/>
  <c r="P59" i="21" s="1"/>
  <c r="L72" i="21"/>
  <c r="O72" i="21" s="1"/>
  <c r="J143" i="21"/>
  <c r="J131" i="21" s="1"/>
  <c r="N167" i="21"/>
  <c r="N165" i="21" s="1"/>
  <c r="P348" i="21"/>
  <c r="K628" i="21"/>
  <c r="N90" i="21"/>
  <c r="N88" i="21" s="1"/>
  <c r="N132" i="21"/>
  <c r="K144" i="21"/>
  <c r="L151" i="21"/>
  <c r="I297" i="21"/>
  <c r="K297" i="21" s="1"/>
  <c r="M331" i="21"/>
  <c r="P331" i="21" s="1"/>
  <c r="M351" i="21"/>
  <c r="P351" i="21" s="1"/>
  <c r="K362" i="21"/>
  <c r="M395" i="21"/>
  <c r="P395" i="21" s="1"/>
  <c r="L405" i="21"/>
  <c r="O405" i="21" s="1"/>
  <c r="L546" i="21"/>
  <c r="O546" i="21" s="1"/>
  <c r="K577" i="21"/>
  <c r="L788" i="21"/>
  <c r="O788" i="21" s="1"/>
  <c r="P150" i="21"/>
  <c r="L23" i="21"/>
  <c r="L21" i="21" s="1"/>
  <c r="P91" i="21"/>
  <c r="N414" i="21"/>
  <c r="O787" i="21"/>
  <c r="L786" i="21"/>
  <c r="O786" i="21" s="1"/>
  <c r="P36" i="21"/>
  <c r="M34" i="21"/>
  <c r="P34" i="21" s="1"/>
  <c r="N121" i="21"/>
  <c r="N119" i="21" s="1"/>
  <c r="I174" i="21"/>
  <c r="K176" i="21"/>
  <c r="L629" i="21"/>
  <c r="O629" i="21" s="1"/>
  <c r="O686" i="21"/>
  <c r="L685" i="21"/>
  <c r="O685" i="21" s="1"/>
  <c r="P738" i="21"/>
  <c r="M737" i="21"/>
  <c r="P737" i="21" s="1"/>
  <c r="O15" i="21"/>
  <c r="O29" i="21"/>
  <c r="O35" i="21"/>
  <c r="P54" i="21"/>
  <c r="N56" i="21"/>
  <c r="P56" i="21" s="1"/>
  <c r="P58" i="21"/>
  <c r="I76" i="21"/>
  <c r="P120" i="21"/>
  <c r="L168" i="21"/>
  <c r="O168" i="21" s="1"/>
  <c r="O170" i="21"/>
  <c r="L395" i="21"/>
  <c r="O395" i="21" s="1"/>
  <c r="O397" i="21"/>
  <c r="L391" i="21"/>
  <c r="O22" i="21"/>
  <c r="L19" i="21"/>
  <c r="L12" i="21"/>
  <c r="N59" i="21"/>
  <c r="N26" i="21"/>
  <c r="L91" i="21"/>
  <c r="O91" i="21" s="1"/>
  <c r="O93" i="21"/>
  <c r="L171" i="21"/>
  <c r="O171" i="21" s="1"/>
  <c r="O173" i="21"/>
  <c r="I233" i="21"/>
  <c r="K233" i="21" s="1"/>
  <c r="K244" i="21"/>
  <c r="I237" i="21"/>
  <c r="M30" i="21"/>
  <c r="P30" i="21" s="1"/>
  <c r="L94" i="21"/>
  <c r="O94" i="21" s="1"/>
  <c r="O96" i="21"/>
  <c r="L26" i="21"/>
  <c r="K87" i="21"/>
  <c r="N151" i="21"/>
  <c r="N149" i="21" s="1"/>
  <c r="P12" i="21"/>
  <c r="M15" i="21"/>
  <c r="P19" i="21"/>
  <c r="P25" i="21"/>
  <c r="M29" i="21"/>
  <c r="P32" i="21"/>
  <c r="M44" i="21"/>
  <c r="P44" i="21" s="1"/>
  <c r="M47" i="21"/>
  <c r="P47" i="21" s="1"/>
  <c r="O58" i="21"/>
  <c r="O61" i="21"/>
  <c r="M69" i="21"/>
  <c r="P69" i="21" s="1"/>
  <c r="M72" i="21"/>
  <c r="P72" i="21" s="1"/>
  <c r="I112" i="21"/>
  <c r="K112" i="21" s="1"/>
  <c r="O124" i="21"/>
  <c r="O127" i="21"/>
  <c r="M135" i="21"/>
  <c r="P135" i="21" s="1"/>
  <c r="M138" i="21"/>
  <c r="P138" i="21" s="1"/>
  <c r="O154" i="21"/>
  <c r="O157" i="21"/>
  <c r="J327" i="21"/>
  <c r="K327" i="21" s="1"/>
  <c r="L632" i="21"/>
  <c r="O632" i="21" s="1"/>
  <c r="O634" i="21"/>
  <c r="N789" i="21"/>
  <c r="O186" i="21"/>
  <c r="P316" i="21"/>
  <c r="M315" i="21"/>
  <c r="P315" i="21" s="1"/>
  <c r="L422" i="21"/>
  <c r="O422" i="21" s="1"/>
  <c r="O424" i="21"/>
  <c r="I434" i="21"/>
  <c r="K438" i="21"/>
  <c r="P525" i="21"/>
  <c r="M523" i="21"/>
  <c r="P523" i="21" s="1"/>
  <c r="P755" i="21"/>
  <c r="M754" i="21"/>
  <c r="P754" i="21" s="1"/>
  <c r="P807" i="21"/>
  <c r="M805" i="21"/>
  <c r="P805" i="21" s="1"/>
  <c r="M26" i="21"/>
  <c r="L56" i="21"/>
  <c r="I77" i="21"/>
  <c r="N183" i="21"/>
  <c r="N181" i="21" s="1"/>
  <c r="P184" i="21"/>
  <c r="K216" i="21"/>
  <c r="L229" i="21"/>
  <c r="L249" i="21"/>
  <c r="O249" i="21" s="1"/>
  <c r="L331" i="21"/>
  <c r="O331" i="21" s="1"/>
  <c r="O333" i="21"/>
  <c r="L447" i="21"/>
  <c r="O447" i="21" s="1"/>
  <c r="O449" i="21"/>
  <c r="I785" i="21"/>
  <c r="K785" i="21" s="1"/>
  <c r="K800" i="21"/>
  <c r="O806" i="21"/>
  <c r="L805" i="21"/>
  <c r="O805" i="21" s="1"/>
  <c r="M41" i="21"/>
  <c r="L334" i="21"/>
  <c r="O334" i="21" s="1"/>
  <c r="O336" i="21"/>
  <c r="L348" i="21"/>
  <c r="O348" i="21" s="1"/>
  <c r="O350" i="21"/>
  <c r="L477" i="21"/>
  <c r="O477" i="21" s="1"/>
  <c r="O479" i="21"/>
  <c r="L469" i="21"/>
  <c r="O469" i="21" s="1"/>
  <c r="O524" i="21"/>
  <c r="N12" i="21"/>
  <c r="P182" i="21"/>
  <c r="M181" i="21"/>
  <c r="L351" i="21"/>
  <c r="O351" i="21" s="1"/>
  <c r="O353" i="21"/>
  <c r="L392" i="21"/>
  <c r="O392" i="21" s="1"/>
  <c r="O394" i="21"/>
  <c r="J537" i="21"/>
  <c r="J522" i="21" s="1"/>
  <c r="K539" i="21"/>
  <c r="I543" i="21"/>
  <c r="K543" i="21" s="1"/>
  <c r="K559" i="21"/>
  <c r="P687" i="21"/>
  <c r="M685" i="21"/>
  <c r="P685" i="21" s="1"/>
  <c r="P771" i="21"/>
  <c r="M770" i="21"/>
  <c r="P770" i="21" s="1"/>
  <c r="P788" i="21"/>
  <c r="M786" i="21"/>
  <c r="P786" i="21" s="1"/>
  <c r="L301" i="21"/>
  <c r="O301" i="21" s="1"/>
  <c r="O545" i="21"/>
  <c r="O791" i="21"/>
  <c r="P186" i="21"/>
  <c r="P189" i="21"/>
  <c r="P320" i="21"/>
  <c r="P323" i="21"/>
  <c r="L328" i="21"/>
  <c r="L345" i="21"/>
  <c r="N505" i="21"/>
  <c r="L547" i="21"/>
  <c r="O547" i="21" s="1"/>
  <c r="K675" i="21"/>
  <c r="J288" i="21"/>
  <c r="J275" i="21" s="1"/>
  <c r="M444" i="21"/>
  <c r="P444" i="21" s="1"/>
  <c r="L502" i="21"/>
  <c r="O502" i="21" s="1"/>
  <c r="L533" i="21"/>
  <c r="O533" i="21" s="1"/>
  <c r="K593" i="21"/>
  <c r="M467" i="21"/>
  <c r="P467" i="21" s="1"/>
  <c r="K576" i="21"/>
  <c r="K672" i="21"/>
  <c r="K669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P809" i="20"/>
  <c r="O809" i="20"/>
  <c r="P808" i="20"/>
  <c r="N808" i="20"/>
  <c r="M808" i="20"/>
  <c r="L808" i="20"/>
  <c r="O808" i="20" s="1"/>
  <c r="O807" i="20"/>
  <c r="M807" i="20"/>
  <c r="L807" i="20"/>
  <c r="P806" i="20"/>
  <c r="N806" i="20"/>
  <c r="M806" i="20"/>
  <c r="L806" i="20"/>
  <c r="K804" i="20"/>
  <c r="J804" i="20"/>
  <c r="J803" i="20"/>
  <c r="I803" i="20"/>
  <c r="K803" i="20" s="1"/>
  <c r="J802" i="20"/>
  <c r="J801" i="20"/>
  <c r="I801" i="20"/>
  <c r="J800" i="20"/>
  <c r="P798" i="20"/>
  <c r="O798" i="20"/>
  <c r="P797" i="20"/>
  <c r="O797" i="20"/>
  <c r="P796" i="20"/>
  <c r="N796" i="20"/>
  <c r="M796" i="20"/>
  <c r="L796" i="20"/>
  <c r="O796" i="20" s="1"/>
  <c r="N795" i="20"/>
  <c r="P791" i="20"/>
  <c r="N791" i="20"/>
  <c r="L791" i="20"/>
  <c r="L788" i="20" s="1"/>
  <c r="P790" i="20"/>
  <c r="O790" i="20"/>
  <c r="P789" i="20"/>
  <c r="N789" i="20"/>
  <c r="M789" i="20"/>
  <c r="L789" i="20"/>
  <c r="O789" i="20" s="1"/>
  <c r="M788" i="20"/>
  <c r="P788" i="20" s="1"/>
  <c r="P787" i="20"/>
  <c r="N787" i="20"/>
  <c r="M787" i="20"/>
  <c r="L787" i="20"/>
  <c r="O787" i="20" s="1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P774" i="20"/>
  <c r="O774" i="20"/>
  <c r="O773" i="20"/>
  <c r="M773" i="20"/>
  <c r="P773" i="20" s="1"/>
  <c r="L773" i="20"/>
  <c r="P772" i="20"/>
  <c r="M772" i="20"/>
  <c r="L772" i="20"/>
  <c r="O771" i="20"/>
  <c r="N771" i="20"/>
  <c r="M771" i="20"/>
  <c r="P771" i="20" s="1"/>
  <c r="L771" i="20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P758" i="20"/>
  <c r="O758" i="20"/>
  <c r="O757" i="20"/>
  <c r="M757" i="20"/>
  <c r="P757" i="20" s="1"/>
  <c r="L757" i="20"/>
  <c r="P756" i="20"/>
  <c r="M756" i="20"/>
  <c r="L756" i="20"/>
  <c r="O755" i="20"/>
  <c r="N755" i="20"/>
  <c r="M755" i="20"/>
  <c r="P755" i="20" s="1"/>
  <c r="L755" i="20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P741" i="20"/>
  <c r="O741" i="20"/>
  <c r="O740" i="20"/>
  <c r="M740" i="20"/>
  <c r="P740" i="20" s="1"/>
  <c r="L740" i="20"/>
  <c r="P739" i="20"/>
  <c r="M739" i="20"/>
  <c r="L739" i="20"/>
  <c r="O738" i="20"/>
  <c r="N738" i="20"/>
  <c r="M738" i="20"/>
  <c r="P738" i="20" s="1"/>
  <c r="L738" i="20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K725" i="20" s="1"/>
  <c r="J724" i="20"/>
  <c r="J723" i="20"/>
  <c r="I723" i="20"/>
  <c r="K723" i="20" s="1"/>
  <c r="I722" i="20"/>
  <c r="K722" i="20" s="1"/>
  <c r="I721" i="20"/>
  <c r="K721" i="20" s="1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O695" i="20"/>
  <c r="N695" i="20"/>
  <c r="M695" i="20"/>
  <c r="P695" i="20" s="1"/>
  <c r="L695" i="20"/>
  <c r="P690" i="20"/>
  <c r="N690" i="20"/>
  <c r="L690" i="20"/>
  <c r="L688" i="20" s="1"/>
  <c r="P688" i="20"/>
  <c r="M688" i="20"/>
  <c r="M687" i="20"/>
  <c r="P687" i="20" s="1"/>
  <c r="P686" i="20"/>
  <c r="N686" i="20"/>
  <c r="M686" i="20"/>
  <c r="L686" i="20"/>
  <c r="O686" i="20" s="1"/>
  <c r="J679" i="20"/>
  <c r="J678" i="20"/>
  <c r="I678" i="20"/>
  <c r="K678" i="20" s="1"/>
  <c r="J675" i="20"/>
  <c r="I671" i="20"/>
  <c r="K671" i="20" s="1"/>
  <c r="I670" i="20"/>
  <c r="K670" i="20" s="1"/>
  <c r="J669" i="20"/>
  <c r="J654" i="20" s="1"/>
  <c r="I669" i="20"/>
  <c r="K675" i="20" s="1"/>
  <c r="P667" i="20"/>
  <c r="O667" i="20"/>
  <c r="P666" i="20"/>
  <c r="O666" i="20"/>
  <c r="P665" i="20"/>
  <c r="N665" i="20"/>
  <c r="M665" i="20"/>
  <c r="L665" i="20"/>
  <c r="O665" i="20" s="1"/>
  <c r="N664" i="20"/>
  <c r="P660" i="20"/>
  <c r="N660" i="20"/>
  <c r="L660" i="20"/>
  <c r="L657" i="20" s="1"/>
  <c r="P659" i="20"/>
  <c r="O659" i="20"/>
  <c r="P658" i="20"/>
  <c r="N658" i="20"/>
  <c r="M658" i="20"/>
  <c r="L658" i="20"/>
  <c r="O658" i="20" s="1"/>
  <c r="M657" i="20"/>
  <c r="P657" i="20" s="1"/>
  <c r="P656" i="20"/>
  <c r="N656" i="20"/>
  <c r="M656" i="20"/>
  <c r="L656" i="20"/>
  <c r="M655" i="20"/>
  <c r="P655" i="20" s="1"/>
  <c r="K652" i="20"/>
  <c r="J652" i="20"/>
  <c r="J651" i="20"/>
  <c r="I651" i="20"/>
  <c r="I628" i="20" s="1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P640" i="20"/>
  <c r="O640" i="20"/>
  <c r="N639" i="20"/>
  <c r="M639" i="20"/>
  <c r="P639" i="20" s="1"/>
  <c r="N638" i="20"/>
  <c r="N634" i="20" s="1"/>
  <c r="P634" i="20"/>
  <c r="L634" i="20"/>
  <c r="P633" i="20"/>
  <c r="O633" i="20"/>
  <c r="M632" i="20"/>
  <c r="P632" i="20" s="1"/>
  <c r="P631" i="20"/>
  <c r="M631" i="20"/>
  <c r="O630" i="20"/>
  <c r="N630" i="20"/>
  <c r="M630" i="20"/>
  <c r="P630" i="20" s="1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K594" i="20" s="1"/>
  <c r="J593" i="20"/>
  <c r="J592" i="20" s="1"/>
  <c r="I593" i="20"/>
  <c r="I592" i="20" s="1"/>
  <c r="J583" i="20"/>
  <c r="J582" i="20"/>
  <c r="J576" i="20" s="1"/>
  <c r="J577" i="20"/>
  <c r="I577" i="20"/>
  <c r="K577" i="20" s="1"/>
  <c r="I576" i="20"/>
  <c r="I559" i="20" s="1"/>
  <c r="J569" i="20"/>
  <c r="I569" i="20"/>
  <c r="J568" i="20"/>
  <c r="I568" i="20"/>
  <c r="K568" i="20" s="1"/>
  <c r="J561" i="20"/>
  <c r="I561" i="20"/>
  <c r="J560" i="20"/>
  <c r="I560" i="20"/>
  <c r="K560" i="20" s="1"/>
  <c r="J559" i="20"/>
  <c r="J543" i="20" s="1"/>
  <c r="P557" i="20"/>
  <c r="L557" i="20"/>
  <c r="O557" i="20" s="1"/>
  <c r="P556" i="20"/>
  <c r="O556" i="20"/>
  <c r="N555" i="20"/>
  <c r="M555" i="20"/>
  <c r="P555" i="20" s="1"/>
  <c r="N553" i="20"/>
  <c r="N549" i="20" s="1"/>
  <c r="P549" i="20"/>
  <c r="L549" i="20"/>
  <c r="P548" i="20"/>
  <c r="O548" i="20"/>
  <c r="M547" i="20"/>
  <c r="P547" i="20" s="1"/>
  <c r="P546" i="20"/>
  <c r="M546" i="20"/>
  <c r="O545" i="20"/>
  <c r="N545" i="20"/>
  <c r="L545" i="20"/>
  <c r="I542" i="20"/>
  <c r="K542" i="20" s="1"/>
  <c r="I541" i="20"/>
  <c r="K541" i="20" s="1"/>
  <c r="I540" i="20"/>
  <c r="K540" i="20" s="1"/>
  <c r="I539" i="20"/>
  <c r="K539" i="20" s="1"/>
  <c r="I538" i="20"/>
  <c r="K538" i="20" s="1"/>
  <c r="I537" i="20"/>
  <c r="P535" i="20"/>
  <c r="L535" i="20"/>
  <c r="O535" i="20" s="1"/>
  <c r="P534" i="20"/>
  <c r="O534" i="20"/>
  <c r="P533" i="20"/>
  <c r="N533" i="20"/>
  <c r="M533" i="20"/>
  <c r="P528" i="20"/>
  <c r="N528" i="20"/>
  <c r="L528" i="20"/>
  <c r="L526" i="20" s="1"/>
  <c r="O526" i="20" s="1"/>
  <c r="P527" i="20"/>
  <c r="O527" i="20"/>
  <c r="N526" i="20"/>
  <c r="M526" i="20"/>
  <c r="P526" i="20" s="1"/>
  <c r="P525" i="20"/>
  <c r="N525" i="20"/>
  <c r="N523" i="20" s="1"/>
  <c r="M525" i="20"/>
  <c r="O524" i="20"/>
  <c r="N524" i="20"/>
  <c r="M524" i="20"/>
  <c r="L524" i="20"/>
  <c r="K517" i="20"/>
  <c r="J517" i="20"/>
  <c r="K516" i="20"/>
  <c r="P514" i="20"/>
  <c r="O514" i="20"/>
  <c r="P513" i="20"/>
  <c r="O513" i="20"/>
  <c r="O512" i="20"/>
  <c r="N512" i="20"/>
  <c r="M512" i="20"/>
  <c r="P512" i="20" s="1"/>
  <c r="L512" i="20"/>
  <c r="P507" i="20"/>
  <c r="O507" i="20"/>
  <c r="N507" i="20"/>
  <c r="P506" i="20"/>
  <c r="O506" i="20"/>
  <c r="O505" i="20"/>
  <c r="M505" i="20"/>
  <c r="P505" i="20" s="1"/>
  <c r="L505" i="20"/>
  <c r="P504" i="20"/>
  <c r="M504" i="20"/>
  <c r="L504" i="20"/>
  <c r="O503" i="20"/>
  <c r="N503" i="20"/>
  <c r="M503" i="20"/>
  <c r="P503" i="20" s="1"/>
  <c r="L503" i="20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L477" i="20" s="1"/>
  <c r="O477" i="20" s="1"/>
  <c r="P478" i="20"/>
  <c r="O478" i="20"/>
  <c r="P477" i="20"/>
  <c r="N477" i="20"/>
  <c r="M477" i="20"/>
  <c r="N476" i="20"/>
  <c r="P472" i="20"/>
  <c r="N472" i="20"/>
  <c r="N469" i="20" s="1"/>
  <c r="L472" i="20"/>
  <c r="L470" i="20" s="1"/>
  <c r="P471" i="20"/>
  <c r="O471" i="20"/>
  <c r="P470" i="20"/>
  <c r="M470" i="20"/>
  <c r="M469" i="20"/>
  <c r="P468" i="20"/>
  <c r="N468" i="20"/>
  <c r="N467" i="20" s="1"/>
  <c r="M468" i="20"/>
  <c r="L468" i="20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K460" i="20" s="1"/>
  <c r="K458" i="20"/>
  <c r="P456" i="20"/>
  <c r="L456" i="20"/>
  <c r="P455" i="20"/>
  <c r="O455" i="20"/>
  <c r="P454" i="20"/>
  <c r="N454" i="20"/>
  <c r="M454" i="20"/>
  <c r="L454" i="20"/>
  <c r="O454" i="20" s="1"/>
  <c r="N453" i="20"/>
  <c r="P449" i="20"/>
  <c r="N449" i="20"/>
  <c r="L449" i="20"/>
  <c r="O449" i="20" s="1"/>
  <c r="P448" i="20"/>
  <c r="O448" i="20"/>
  <c r="P447" i="20"/>
  <c r="N447" i="20"/>
  <c r="M447" i="20"/>
  <c r="N446" i="20"/>
  <c r="M446" i="20"/>
  <c r="P446" i="20" s="1"/>
  <c r="P445" i="20"/>
  <c r="N445" i="20"/>
  <c r="N444" i="20" s="1"/>
  <c r="M445" i="20"/>
  <c r="L445" i="20"/>
  <c r="O445" i="20" s="1"/>
  <c r="M444" i="20"/>
  <c r="P444" i="20" s="1"/>
  <c r="J443" i="20"/>
  <c r="J442" i="20"/>
  <c r="I441" i="20"/>
  <c r="K441" i="20" s="1"/>
  <c r="I440" i="20"/>
  <c r="I439" i="20"/>
  <c r="K439" i="20" s="1"/>
  <c r="I438" i="20"/>
  <c r="K438" i="20" s="1"/>
  <c r="I437" i="20"/>
  <c r="K437" i="20" s="1"/>
  <c r="I435" i="20"/>
  <c r="J434" i="20"/>
  <c r="P431" i="20"/>
  <c r="L431" i="20"/>
  <c r="O431" i="20" s="1"/>
  <c r="P430" i="20"/>
  <c r="O430" i="20"/>
  <c r="N429" i="20"/>
  <c r="M429" i="20"/>
  <c r="P429" i="20" s="1"/>
  <c r="N428" i="20"/>
  <c r="N424" i="20" s="1"/>
  <c r="P424" i="20"/>
  <c r="L424" i="20"/>
  <c r="O424" i="20" s="1"/>
  <c r="P423" i="20"/>
  <c r="O423" i="20"/>
  <c r="M422" i="20"/>
  <c r="P422" i="20" s="1"/>
  <c r="P421" i="20"/>
  <c r="M421" i="20"/>
  <c r="O420" i="20"/>
  <c r="N420" i="20"/>
  <c r="M420" i="20"/>
  <c r="P420" i="20" s="1"/>
  <c r="L420" i="20"/>
  <c r="P419" i="20"/>
  <c r="M419" i="20"/>
  <c r="J418" i="20"/>
  <c r="K413" i="20"/>
  <c r="K412" i="20"/>
  <c r="N410" i="20"/>
  <c r="N408" i="20" s="1"/>
  <c r="M410" i="20"/>
  <c r="M408" i="20" s="1"/>
  <c r="P408" i="20" s="1"/>
  <c r="L410" i="20"/>
  <c r="L408" i="20" s="1"/>
  <c r="O408" i="20" s="1"/>
  <c r="P409" i="20"/>
  <c r="O409" i="20"/>
  <c r="N407" i="20"/>
  <c r="M407" i="20"/>
  <c r="M405" i="20" s="1"/>
  <c r="P405" i="20" s="1"/>
  <c r="L407" i="20"/>
  <c r="L405" i="20" s="1"/>
  <c r="O405" i="20" s="1"/>
  <c r="P406" i="20"/>
  <c r="O406" i="20"/>
  <c r="O403" i="20"/>
  <c r="N403" i="20"/>
  <c r="M403" i="20"/>
  <c r="L403" i="20"/>
  <c r="K401" i="20"/>
  <c r="J401" i="20"/>
  <c r="I401" i="20"/>
  <c r="K400" i="20"/>
  <c r="K399" i="20"/>
  <c r="N397" i="20"/>
  <c r="N395" i="20" s="1"/>
  <c r="M397" i="20"/>
  <c r="P397" i="20" s="1"/>
  <c r="L397" i="20"/>
  <c r="P396" i="20"/>
  <c r="O396" i="20"/>
  <c r="N394" i="20"/>
  <c r="N392" i="20" s="1"/>
  <c r="M394" i="20"/>
  <c r="P394" i="20" s="1"/>
  <c r="L394" i="20"/>
  <c r="P393" i="20"/>
  <c r="O393" i="20"/>
  <c r="O390" i="20"/>
  <c r="N390" i="20"/>
  <c r="M390" i="20"/>
  <c r="P390" i="20" s="1"/>
  <c r="L390" i="20"/>
  <c r="J388" i="20"/>
  <c r="I388" i="20"/>
  <c r="K388" i="20" s="1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L353" i="20"/>
  <c r="L351" i="20" s="1"/>
  <c r="P352" i="20"/>
  <c r="O352" i="20"/>
  <c r="N350" i="20"/>
  <c r="N348" i="20" s="1"/>
  <c r="M350" i="20"/>
  <c r="M348" i="20" s="1"/>
  <c r="L350" i="20"/>
  <c r="L348" i="20" s="1"/>
  <c r="P349" i="20"/>
  <c r="O349" i="20"/>
  <c r="O346" i="20"/>
  <c r="N346" i="20"/>
  <c r="M346" i="20"/>
  <c r="P346" i="20" s="1"/>
  <c r="L346" i="20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L334" i="20" s="1"/>
  <c r="O334" i="20" s="1"/>
  <c r="P335" i="20"/>
  <c r="O335" i="20"/>
  <c r="N333" i="20"/>
  <c r="M333" i="20"/>
  <c r="M331" i="20" s="1"/>
  <c r="L333" i="20"/>
  <c r="L331" i="20" s="1"/>
  <c r="P332" i="20"/>
  <c r="O332" i="20"/>
  <c r="O329" i="20"/>
  <c r="N329" i="20"/>
  <c r="M329" i="20"/>
  <c r="P329" i="20" s="1"/>
  <c r="L329" i="20"/>
  <c r="I327" i="20"/>
  <c r="I325" i="20"/>
  <c r="N323" i="20"/>
  <c r="N321" i="20" s="1"/>
  <c r="M323" i="20"/>
  <c r="P323" i="20" s="1"/>
  <c r="L323" i="20"/>
  <c r="O323" i="20" s="1"/>
  <c r="P322" i="20"/>
  <c r="O322" i="20"/>
  <c r="N320" i="20"/>
  <c r="N318" i="20" s="1"/>
  <c r="M320" i="20"/>
  <c r="L320" i="20"/>
  <c r="O320" i="20" s="1"/>
  <c r="P319" i="20"/>
  <c r="O319" i="20"/>
  <c r="O316" i="20"/>
  <c r="N316" i="20"/>
  <c r="M316" i="20"/>
  <c r="P316" i="20" s="1"/>
  <c r="L316" i="20"/>
  <c r="J314" i="20"/>
  <c r="I312" i="20"/>
  <c r="K312" i="20" s="1"/>
  <c r="I311" i="20"/>
  <c r="K311" i="20" s="1"/>
  <c r="I310" i="20"/>
  <c r="K310" i="20" s="1"/>
  <c r="I309" i="20"/>
  <c r="I297" i="20" s="1"/>
  <c r="N306" i="20"/>
  <c r="M306" i="20"/>
  <c r="P306" i="20" s="1"/>
  <c r="L306" i="20"/>
  <c r="P305" i="20"/>
  <c r="O305" i="20"/>
  <c r="N303" i="20"/>
  <c r="M303" i="20"/>
  <c r="M301" i="20" s="1"/>
  <c r="L303" i="20"/>
  <c r="P302" i="20"/>
  <c r="O302" i="20"/>
  <c r="O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K287" i="20" s="1"/>
  <c r="N285" i="20"/>
  <c r="M285" i="20"/>
  <c r="L285" i="20"/>
  <c r="O285" i="20" s="1"/>
  <c r="P284" i="20"/>
  <c r="O284" i="20"/>
  <c r="N282" i="20"/>
  <c r="N280" i="20" s="1"/>
  <c r="M282" i="20"/>
  <c r="L282" i="20"/>
  <c r="L280" i="20" s="1"/>
  <c r="P281" i="20"/>
  <c r="O281" i="20"/>
  <c r="P278" i="20"/>
  <c r="N278" i="20"/>
  <c r="M278" i="20"/>
  <c r="L278" i="20"/>
  <c r="J276" i="20"/>
  <c r="I271" i="20"/>
  <c r="K271" i="20" s="1"/>
  <c r="N269" i="20"/>
  <c r="N267" i="20" s="1"/>
  <c r="M269" i="20"/>
  <c r="P269" i="20" s="1"/>
  <c r="L269" i="20"/>
  <c r="P268" i="20"/>
  <c r="O268" i="20"/>
  <c r="N266" i="20"/>
  <c r="N264" i="20" s="1"/>
  <c r="M266" i="20"/>
  <c r="M264" i="20" s="1"/>
  <c r="L266" i="20"/>
  <c r="P265" i="20"/>
  <c r="O265" i="20"/>
  <c r="N262" i="20"/>
  <c r="M262" i="20"/>
  <c r="L262" i="20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J237" i="20"/>
  <c r="J226" i="20" s="1"/>
  <c r="J180" i="20" s="1"/>
  <c r="K236" i="20"/>
  <c r="J236" i="20"/>
  <c r="I236" i="20"/>
  <c r="K235" i="20"/>
  <c r="J235" i="20"/>
  <c r="I235" i="20"/>
  <c r="J233" i="20"/>
  <c r="N231" i="20"/>
  <c r="N230" i="20"/>
  <c r="N229" i="20"/>
  <c r="N228" i="20"/>
  <c r="I225" i="20"/>
  <c r="K225" i="20" s="1"/>
  <c r="I224" i="20"/>
  <c r="I216" i="20" s="1"/>
  <c r="K216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I197" i="20" s="1"/>
  <c r="K197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O189" i="20" s="1"/>
  <c r="P188" i="20"/>
  <c r="O188" i="20"/>
  <c r="N186" i="20"/>
  <c r="N184" i="20" s="1"/>
  <c r="M186" i="20"/>
  <c r="L186" i="20"/>
  <c r="P185" i="20"/>
  <c r="O185" i="20"/>
  <c r="P182" i="20"/>
  <c r="O182" i="20"/>
  <c r="N182" i="20"/>
  <c r="M182" i="20"/>
  <c r="L182" i="20"/>
  <c r="J177" i="20"/>
  <c r="J164" i="20" s="1"/>
  <c r="I176" i="20"/>
  <c r="K176" i="20" s="1"/>
  <c r="J174" i="20"/>
  <c r="N173" i="20"/>
  <c r="N171" i="20" s="1"/>
  <c r="M173" i="20"/>
  <c r="P173" i="20" s="1"/>
  <c r="L173" i="20"/>
  <c r="O173" i="20" s="1"/>
  <c r="P172" i="20"/>
  <c r="O172" i="20"/>
  <c r="N170" i="20"/>
  <c r="N168" i="20" s="1"/>
  <c r="M170" i="20"/>
  <c r="L170" i="20"/>
  <c r="P169" i="20"/>
  <c r="O169" i="20"/>
  <c r="P166" i="20"/>
  <c r="O166" i="20"/>
  <c r="N166" i="20"/>
  <c r="M166" i="20"/>
  <c r="L166" i="20"/>
  <c r="I159" i="20"/>
  <c r="I148" i="20" s="1"/>
  <c r="K148" i="20" s="1"/>
  <c r="N157" i="20"/>
  <c r="N155" i="20" s="1"/>
  <c r="M157" i="20"/>
  <c r="P157" i="20" s="1"/>
  <c r="L157" i="20"/>
  <c r="P156" i="20"/>
  <c r="O156" i="20"/>
  <c r="N154" i="20"/>
  <c r="M154" i="20"/>
  <c r="P154" i="20" s="1"/>
  <c r="L154" i="20"/>
  <c r="P153" i="20"/>
  <c r="O153" i="20"/>
  <c r="N150" i="20"/>
  <c r="M150" i="20"/>
  <c r="L150" i="20"/>
  <c r="J148" i="20"/>
  <c r="I146" i="20"/>
  <c r="I130" i="20" s="1"/>
  <c r="K130" i="20" s="1"/>
  <c r="I145" i="20"/>
  <c r="I144" i="20"/>
  <c r="K144" i="20" s="1"/>
  <c r="N140" i="20"/>
  <c r="N138" i="20" s="1"/>
  <c r="M140" i="20"/>
  <c r="M138" i="20" s="1"/>
  <c r="P138" i="20" s="1"/>
  <c r="L140" i="20"/>
  <c r="O140" i="20" s="1"/>
  <c r="P139" i="20"/>
  <c r="O139" i="20"/>
  <c r="N137" i="20"/>
  <c r="M137" i="20"/>
  <c r="M135" i="20" s="1"/>
  <c r="P135" i="20" s="1"/>
  <c r="L137" i="20"/>
  <c r="O137" i="20" s="1"/>
  <c r="P136" i="20"/>
  <c r="O136" i="20"/>
  <c r="P133" i="20"/>
  <c r="O133" i="20"/>
  <c r="N133" i="20"/>
  <c r="M133" i="20"/>
  <c r="L133" i="20"/>
  <c r="J130" i="20"/>
  <c r="N127" i="20"/>
  <c r="N125" i="20" s="1"/>
  <c r="M127" i="20"/>
  <c r="P127" i="20" s="1"/>
  <c r="L127" i="20"/>
  <c r="P126" i="20"/>
  <c r="O126" i="20"/>
  <c r="N124" i="20"/>
  <c r="M124" i="20"/>
  <c r="M122" i="20" s="1"/>
  <c r="P122" i="20" s="1"/>
  <c r="L124" i="20"/>
  <c r="P123" i="20"/>
  <c r="O123" i="20"/>
  <c r="N120" i="20"/>
  <c r="M120" i="20"/>
  <c r="L120" i="20"/>
  <c r="O120" i="20" s="1"/>
  <c r="I116" i="20"/>
  <c r="K116" i="20" s="1"/>
  <c r="I115" i="20"/>
  <c r="I114" i="20"/>
  <c r="K114" i="20" s="1"/>
  <c r="I113" i="20"/>
  <c r="K113" i="20" s="1"/>
  <c r="J112" i="20"/>
  <c r="J111" i="20"/>
  <c r="I111" i="20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I99" i="20"/>
  <c r="K99" i="20" s="1"/>
  <c r="J98" i="20"/>
  <c r="J86" i="20" s="1"/>
  <c r="I98" i="20"/>
  <c r="I86" i="20" s="1"/>
  <c r="K86" i="20" s="1"/>
  <c r="N96" i="20"/>
  <c r="N94" i="20" s="1"/>
  <c r="M96" i="20"/>
  <c r="P96" i="20" s="1"/>
  <c r="L96" i="20"/>
  <c r="O96" i="20" s="1"/>
  <c r="P95" i="20"/>
  <c r="O95" i="20"/>
  <c r="N93" i="20"/>
  <c r="N91" i="20" s="1"/>
  <c r="M93" i="20"/>
  <c r="M91" i="20" s="1"/>
  <c r="L93" i="20"/>
  <c r="P92" i="20"/>
  <c r="O92" i="20"/>
  <c r="P89" i="20"/>
  <c r="O89" i="20"/>
  <c r="N89" i="20"/>
  <c r="M89" i="20"/>
  <c r="L89" i="20"/>
  <c r="J87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65" i="20" s="1"/>
  <c r="J76" i="20"/>
  <c r="N74" i="20"/>
  <c r="N72" i="20" s="1"/>
  <c r="M74" i="20"/>
  <c r="M72" i="20" s="1"/>
  <c r="P72" i="20" s="1"/>
  <c r="L74" i="20"/>
  <c r="O74" i="20" s="1"/>
  <c r="P73" i="20"/>
  <c r="O73" i="20"/>
  <c r="N71" i="20"/>
  <c r="M71" i="20"/>
  <c r="M69" i="20" s="1"/>
  <c r="L71" i="20"/>
  <c r="L69" i="20" s="1"/>
  <c r="P70" i="20"/>
  <c r="O70" i="20"/>
  <c r="P67" i="20"/>
  <c r="N67" i="20"/>
  <c r="M67" i="20"/>
  <c r="L67" i="20"/>
  <c r="J64" i="20"/>
  <c r="N61" i="20"/>
  <c r="N59" i="20" s="1"/>
  <c r="M61" i="20"/>
  <c r="L61" i="20"/>
  <c r="P60" i="20"/>
  <c r="O60" i="20"/>
  <c r="N58" i="20"/>
  <c r="M58" i="20"/>
  <c r="M56" i="20" s="1"/>
  <c r="L58" i="20"/>
  <c r="P57" i="20"/>
  <c r="O57" i="20"/>
  <c r="O54" i="20"/>
  <c r="N54" i="20"/>
  <c r="M54" i="20"/>
  <c r="L54" i="20"/>
  <c r="N49" i="20"/>
  <c r="N47" i="20" s="1"/>
  <c r="M49" i="20"/>
  <c r="M47" i="20" s="1"/>
  <c r="P47" i="20" s="1"/>
  <c r="L49" i="20"/>
  <c r="O49" i="20" s="1"/>
  <c r="P48" i="20"/>
  <c r="O48" i="20"/>
  <c r="N46" i="20"/>
  <c r="N44" i="20" s="1"/>
  <c r="M46" i="20"/>
  <c r="M44" i="20" s="1"/>
  <c r="L46" i="20"/>
  <c r="P45" i="20"/>
  <c r="O45" i="20"/>
  <c r="P42" i="20"/>
  <c r="N42" i="20"/>
  <c r="M42" i="20"/>
  <c r="L42" i="20"/>
  <c r="O42" i="20" s="1"/>
  <c r="N36" i="20"/>
  <c r="M36" i="20"/>
  <c r="P36" i="20" s="1"/>
  <c r="P35" i="20"/>
  <c r="N35" i="20"/>
  <c r="M35" i="20"/>
  <c r="L35" i="20"/>
  <c r="O35" i="20" s="1"/>
  <c r="M34" i="20"/>
  <c r="P34" i="20" s="1"/>
  <c r="P33" i="20"/>
  <c r="N33" i="20"/>
  <c r="M33" i="20"/>
  <c r="O32" i="20"/>
  <c r="N32" i="20"/>
  <c r="M32" i="20"/>
  <c r="M31" i="20" s="1"/>
  <c r="P31" i="20" s="1"/>
  <c r="L32" i="20"/>
  <c r="N31" i="20"/>
  <c r="N30" i="20"/>
  <c r="N29" i="20"/>
  <c r="L29" i="20"/>
  <c r="O29" i="20" s="1"/>
  <c r="O25" i="20"/>
  <c r="N25" i="20"/>
  <c r="M25" i="20"/>
  <c r="P25" i="20" s="1"/>
  <c r="L25" i="20"/>
  <c r="N22" i="20"/>
  <c r="N19" i="20" s="1"/>
  <c r="M22" i="20"/>
  <c r="P22" i="20" s="1"/>
  <c r="L22" i="20"/>
  <c r="N15" i="20"/>
  <c r="L15" i="20"/>
  <c r="O15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N815" i="19"/>
  <c r="M815" i="19"/>
  <c r="L815" i="19"/>
  <c r="O815" i="19" s="1"/>
  <c r="P810" i="19"/>
  <c r="O810" i="19"/>
  <c r="N810" i="19"/>
  <c r="P809" i="19"/>
  <c r="O809" i="19"/>
  <c r="P808" i="19"/>
  <c r="O808" i="19"/>
  <c r="N808" i="19"/>
  <c r="M808" i="19"/>
  <c r="L808" i="19"/>
  <c r="O807" i="19"/>
  <c r="N807" i="19"/>
  <c r="M807" i="19"/>
  <c r="L807" i="19"/>
  <c r="N806" i="19"/>
  <c r="N805" i="19" s="1"/>
  <c r="M806" i="19"/>
  <c r="P806" i="19" s="1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O796" i="19"/>
  <c r="N796" i="19"/>
  <c r="M796" i="19"/>
  <c r="L796" i="19"/>
  <c r="P791" i="19"/>
  <c r="N791" i="19"/>
  <c r="L791" i="19"/>
  <c r="L789" i="19" s="1"/>
  <c r="O789" i="19" s="1"/>
  <c r="P790" i="19"/>
  <c r="O790" i="19"/>
  <c r="P789" i="19"/>
  <c r="M789" i="19"/>
  <c r="M788" i="19"/>
  <c r="P788" i="19" s="1"/>
  <c r="N787" i="19"/>
  <c r="M787" i="19"/>
  <c r="P787" i="19" s="1"/>
  <c r="L787" i="19"/>
  <c r="P782" i="19"/>
  <c r="O782" i="19"/>
  <c r="P781" i="19"/>
  <c r="O781" i="19"/>
  <c r="N780" i="19"/>
  <c r="M780" i="19"/>
  <c r="P780" i="19" s="1"/>
  <c r="L780" i="19"/>
  <c r="O780" i="19" s="1"/>
  <c r="P775" i="19"/>
  <c r="O775" i="19"/>
  <c r="N775" i="19"/>
  <c r="N773" i="19" s="1"/>
  <c r="P774" i="19"/>
  <c r="O774" i="19"/>
  <c r="P773" i="19"/>
  <c r="O773" i="19"/>
  <c r="M773" i="19"/>
  <c r="L773" i="19"/>
  <c r="P772" i="19"/>
  <c r="O772" i="19"/>
  <c r="N772" i="19"/>
  <c r="M772" i="19"/>
  <c r="L772" i="19"/>
  <c r="O771" i="19"/>
  <c r="N771" i="19"/>
  <c r="M771" i="19"/>
  <c r="L771" i="19"/>
  <c r="N770" i="19"/>
  <c r="L770" i="19"/>
  <c r="O770" i="19" s="1"/>
  <c r="K769" i="19"/>
  <c r="J769" i="19"/>
  <c r="P766" i="19"/>
  <c r="O766" i="19"/>
  <c r="P765" i="19"/>
  <c r="O765" i="19"/>
  <c r="N764" i="19"/>
  <c r="M764" i="19"/>
  <c r="P764" i="19" s="1"/>
  <c r="L764" i="19"/>
  <c r="O764" i="19" s="1"/>
  <c r="P759" i="19"/>
  <c r="O759" i="19"/>
  <c r="N759" i="19"/>
  <c r="P758" i="19"/>
  <c r="O758" i="19"/>
  <c r="P757" i="19"/>
  <c r="O757" i="19"/>
  <c r="N757" i="19"/>
  <c r="M757" i="19"/>
  <c r="L757" i="19"/>
  <c r="P756" i="19"/>
  <c r="O756" i="19"/>
  <c r="N756" i="19"/>
  <c r="M756" i="19"/>
  <c r="L756" i="19"/>
  <c r="O755" i="19"/>
  <c r="N755" i="19"/>
  <c r="M755" i="19"/>
  <c r="L755" i="19"/>
  <c r="N754" i="19"/>
  <c r="L754" i="19"/>
  <c r="O754" i="19" s="1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N740" i="19" s="1"/>
  <c r="P741" i="19"/>
  <c r="O741" i="19"/>
  <c r="P740" i="19"/>
  <c r="O740" i="19"/>
  <c r="M740" i="19"/>
  <c r="L740" i="19"/>
  <c r="P739" i="19"/>
  <c r="O739" i="19"/>
  <c r="N739" i="19"/>
  <c r="N737" i="19" s="1"/>
  <c r="M739" i="19"/>
  <c r="L739" i="19"/>
  <c r="O738" i="19"/>
  <c r="N738" i="19"/>
  <c r="M738" i="19"/>
  <c r="L738" i="19"/>
  <c r="L737" i="19"/>
  <c r="O737" i="19" s="1"/>
  <c r="K736" i="19"/>
  <c r="J736" i="19"/>
  <c r="J729" i="19"/>
  <c r="I729" i="19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J699" i="19"/>
  <c r="I699" i="19"/>
  <c r="P697" i="19"/>
  <c r="O697" i="19"/>
  <c r="P696" i="19"/>
  <c r="O696" i="19"/>
  <c r="N695" i="19"/>
  <c r="M695" i="19"/>
  <c r="P695" i="19" s="1"/>
  <c r="L695" i="19"/>
  <c r="O695" i="19" s="1"/>
  <c r="N694" i="19"/>
  <c r="N690" i="19" s="1"/>
  <c r="P690" i="19"/>
  <c r="L690" i="19"/>
  <c r="P688" i="19"/>
  <c r="M688" i="19"/>
  <c r="P687" i="19"/>
  <c r="M687" i="19"/>
  <c r="O686" i="19"/>
  <c r="N686" i="19"/>
  <c r="M686" i="19"/>
  <c r="L686" i="19"/>
  <c r="J679" i="19"/>
  <c r="J678" i="19"/>
  <c r="I678" i="19"/>
  <c r="K678" i="19" s="1"/>
  <c r="J675" i="19"/>
  <c r="J669" i="19" s="1"/>
  <c r="J654" i="19" s="1"/>
  <c r="I671" i="19"/>
  <c r="K671" i="19" s="1"/>
  <c r="I670" i="19"/>
  <c r="K670" i="19" s="1"/>
  <c r="I669" i="19"/>
  <c r="I654" i="19" s="1"/>
  <c r="K654" i="19" s="1"/>
  <c r="P667" i="19"/>
  <c r="O667" i="19"/>
  <c r="P666" i="19"/>
  <c r="O666" i="19"/>
  <c r="O665" i="19"/>
  <c r="N665" i="19"/>
  <c r="M665" i="19"/>
  <c r="P665" i="19" s="1"/>
  <c r="L665" i="19"/>
  <c r="P660" i="19"/>
  <c r="N660" i="19"/>
  <c r="N657" i="19" s="1"/>
  <c r="N655" i="19" s="1"/>
  <c r="L660" i="19"/>
  <c r="O660" i="19" s="1"/>
  <c r="P659" i="19"/>
  <c r="O659" i="19"/>
  <c r="N658" i="19"/>
  <c r="M658" i="19"/>
  <c r="P658" i="19" s="1"/>
  <c r="M657" i="19"/>
  <c r="P657" i="19" s="1"/>
  <c r="P656" i="19"/>
  <c r="N656" i="19"/>
  <c r="M656" i="19"/>
  <c r="L656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L639" i="19"/>
  <c r="O639" i="19" s="1"/>
  <c r="N638" i="19"/>
  <c r="N634" i="19" s="1"/>
  <c r="P634" i="19"/>
  <c r="L634" i="19"/>
  <c r="P633" i="19"/>
  <c r="O633" i="19"/>
  <c r="P632" i="19"/>
  <c r="M632" i="19"/>
  <c r="P631" i="19"/>
  <c r="M631" i="19"/>
  <c r="O630" i="19"/>
  <c r="N630" i="19"/>
  <c r="M630" i="19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5" i="19"/>
  <c r="I594" i="19"/>
  <c r="J593" i="19"/>
  <c r="I593" i="19"/>
  <c r="I592" i="19" s="1"/>
  <c r="J583" i="19"/>
  <c r="J577" i="19" s="1"/>
  <c r="J582" i="19"/>
  <c r="J576" i="19" s="1"/>
  <c r="J559" i="19" s="1"/>
  <c r="I577" i="19"/>
  <c r="K577" i="19" s="1"/>
  <c r="I576" i="19"/>
  <c r="I559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P556" i="19"/>
  <c r="O556" i="19"/>
  <c r="N555" i="19"/>
  <c r="N545" i="19" s="1"/>
  <c r="M555" i="19"/>
  <c r="N553" i="19"/>
  <c r="P549" i="19"/>
  <c r="N549" i="19"/>
  <c r="L549" i="19"/>
  <c r="L547" i="19" s="1"/>
  <c r="O547" i="19" s="1"/>
  <c r="P548" i="19"/>
  <c r="O548" i="19"/>
  <c r="N547" i="19"/>
  <c r="M547" i="19"/>
  <c r="P547" i="19" s="1"/>
  <c r="N546" i="19"/>
  <c r="M546" i="19"/>
  <c r="P546" i="19" s="1"/>
  <c r="L545" i="19"/>
  <c r="O545" i="19" s="1"/>
  <c r="J543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K522" i="19" s="1"/>
  <c r="P535" i="19"/>
  <c r="L535" i="19"/>
  <c r="O535" i="19" s="1"/>
  <c r="P534" i="19"/>
  <c r="O534" i="19"/>
  <c r="N533" i="19"/>
  <c r="M533" i="19"/>
  <c r="P533" i="19" s="1"/>
  <c r="P528" i="19"/>
  <c r="N528" i="19"/>
  <c r="N525" i="19" s="1"/>
  <c r="L528" i="19"/>
  <c r="P527" i="19"/>
  <c r="O527" i="19"/>
  <c r="N526" i="19"/>
  <c r="M526" i="19"/>
  <c r="P526" i="19" s="1"/>
  <c r="P525" i="19"/>
  <c r="M525" i="19"/>
  <c r="M523" i="19" s="1"/>
  <c r="P524" i="19"/>
  <c r="O524" i="19"/>
  <c r="N524" i="19"/>
  <c r="M524" i="19"/>
  <c r="L524" i="19"/>
  <c r="P523" i="19"/>
  <c r="N523" i="19"/>
  <c r="K517" i="19"/>
  <c r="J517" i="19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P506" i="19"/>
  <c r="O506" i="19"/>
  <c r="P505" i="19"/>
  <c r="O505" i="19"/>
  <c r="N505" i="19"/>
  <c r="M505" i="19"/>
  <c r="L505" i="19"/>
  <c r="P504" i="19"/>
  <c r="O504" i="19"/>
  <c r="N504" i="19"/>
  <c r="N502" i="19" s="1"/>
  <c r="M504" i="19"/>
  <c r="L504" i="19"/>
  <c r="O503" i="19"/>
  <c r="N503" i="19"/>
  <c r="M503" i="19"/>
  <c r="L503" i="19"/>
  <c r="L502" i="19"/>
  <c r="O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N476" i="19"/>
  <c r="N472" i="19" s="1"/>
  <c r="P472" i="19"/>
  <c r="L472" i="19"/>
  <c r="L470" i="19" s="1"/>
  <c r="P471" i="19"/>
  <c r="O471" i="19"/>
  <c r="P470" i="19"/>
  <c r="M470" i="19"/>
  <c r="P469" i="19"/>
  <c r="M469" i="19"/>
  <c r="P468" i="19"/>
  <c r="O468" i="19"/>
  <c r="N468" i="19"/>
  <c r="M468" i="19"/>
  <c r="L468" i="19"/>
  <c r="M467" i="19"/>
  <c r="P467" i="19" s="1"/>
  <c r="J466" i="19"/>
  <c r="I466" i="19"/>
  <c r="K466" i="19" s="1"/>
  <c r="J465" i="19"/>
  <c r="I465" i="19"/>
  <c r="K465" i="19" s="1"/>
  <c r="I464" i="19"/>
  <c r="I463" i="19"/>
  <c r="I462" i="19"/>
  <c r="I460" i="19"/>
  <c r="K460" i="19" s="1"/>
  <c r="K458" i="19"/>
  <c r="P456" i="19"/>
  <c r="L456" i="19"/>
  <c r="P455" i="19"/>
  <c r="O455" i="19"/>
  <c r="N454" i="19"/>
  <c r="M454" i="19"/>
  <c r="P454" i="19" s="1"/>
  <c r="N453" i="19"/>
  <c r="P449" i="19"/>
  <c r="N449" i="19"/>
  <c r="L449" i="19"/>
  <c r="L447" i="19" s="1"/>
  <c r="P448" i="19"/>
  <c r="O448" i="19"/>
  <c r="M447" i="19"/>
  <c r="P447" i="19" s="1"/>
  <c r="M446" i="19"/>
  <c r="P446" i="19" s="1"/>
  <c r="P445" i="19"/>
  <c r="N445" i="19"/>
  <c r="M445" i="19"/>
  <c r="M444" i="19" s="1"/>
  <c r="P444" i="19" s="1"/>
  <c r="L445" i="19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K435" i="19" s="1"/>
  <c r="J434" i="19"/>
  <c r="P431" i="19"/>
  <c r="L431" i="19"/>
  <c r="L429" i="19" s="1"/>
  <c r="O429" i="19" s="1"/>
  <c r="P430" i="19"/>
  <c r="O430" i="19"/>
  <c r="N429" i="19"/>
  <c r="M429" i="19"/>
  <c r="P429" i="19" s="1"/>
  <c r="N428" i="19"/>
  <c r="P424" i="19"/>
  <c r="N424" i="19"/>
  <c r="L424" i="19"/>
  <c r="P423" i="19"/>
  <c r="O423" i="19"/>
  <c r="N422" i="19"/>
  <c r="M422" i="19"/>
  <c r="P422" i="19" s="1"/>
  <c r="N421" i="19"/>
  <c r="M421" i="19"/>
  <c r="P421" i="19" s="1"/>
  <c r="N420" i="19"/>
  <c r="M420" i="19"/>
  <c r="L420" i="19"/>
  <c r="O420" i="19" s="1"/>
  <c r="J418" i="19"/>
  <c r="K413" i="19"/>
  <c r="K412" i="19"/>
  <c r="N410" i="19"/>
  <c r="N408" i="19" s="1"/>
  <c r="M410" i="19"/>
  <c r="P410" i="19" s="1"/>
  <c r="L410" i="19"/>
  <c r="P409" i="19"/>
  <c r="O409" i="19"/>
  <c r="N407" i="19"/>
  <c r="N405" i="19" s="1"/>
  <c r="M407" i="19"/>
  <c r="P407" i="19" s="1"/>
  <c r="L407" i="19"/>
  <c r="O407" i="19" s="1"/>
  <c r="P406" i="19"/>
  <c r="O406" i="19"/>
  <c r="P403" i="19"/>
  <c r="O403" i="19"/>
  <c r="N403" i="19"/>
  <c r="M403" i="19"/>
  <c r="L403" i="19"/>
  <c r="J401" i="19"/>
  <c r="I401" i="19"/>
  <c r="K401" i="19" s="1"/>
  <c r="K400" i="19"/>
  <c r="K399" i="19"/>
  <c r="N397" i="19"/>
  <c r="N395" i="19" s="1"/>
  <c r="M397" i="19"/>
  <c r="P397" i="19" s="1"/>
  <c r="L397" i="19"/>
  <c r="P396" i="19"/>
  <c r="O396" i="19"/>
  <c r="N394" i="19"/>
  <c r="M394" i="19"/>
  <c r="P394" i="19" s="1"/>
  <c r="L394" i="19"/>
  <c r="P393" i="19"/>
  <c r="O393" i="19"/>
  <c r="N390" i="19"/>
  <c r="M390" i="19"/>
  <c r="L390" i="19"/>
  <c r="O390" i="19" s="1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P352" i="19"/>
  <c r="O352" i="19"/>
  <c r="N350" i="19"/>
  <c r="N348" i="19" s="1"/>
  <c r="M350" i="19"/>
  <c r="L350" i="19"/>
  <c r="P349" i="19"/>
  <c r="O349" i="19"/>
  <c r="N346" i="19"/>
  <c r="M346" i="19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P335" i="19"/>
  <c r="O335" i="19"/>
  <c r="N333" i="19"/>
  <c r="N331" i="19" s="1"/>
  <c r="M333" i="19"/>
  <c r="L333" i="19"/>
  <c r="P332" i="19"/>
  <c r="O332" i="19"/>
  <c r="N329" i="19"/>
  <c r="M329" i="19"/>
  <c r="L329" i="19"/>
  <c r="O329" i="19" s="1"/>
  <c r="I327" i="19"/>
  <c r="I325" i="19"/>
  <c r="K325" i="19" s="1"/>
  <c r="N323" i="19"/>
  <c r="N321" i="19" s="1"/>
  <c r="M323" i="19"/>
  <c r="P323" i="19" s="1"/>
  <c r="L323" i="19"/>
  <c r="O323" i="19" s="1"/>
  <c r="P322" i="19"/>
  <c r="O322" i="19"/>
  <c r="N320" i="19"/>
  <c r="N318" i="19" s="1"/>
  <c r="M320" i="19"/>
  <c r="P320" i="19" s="1"/>
  <c r="L320" i="19"/>
  <c r="O320" i="19" s="1"/>
  <c r="P319" i="19"/>
  <c r="O319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N306" i="19"/>
  <c r="N304" i="19" s="1"/>
  <c r="M306" i="19"/>
  <c r="M304" i="19" s="1"/>
  <c r="P304" i="19" s="1"/>
  <c r="L306" i="19"/>
  <c r="O306" i="19" s="1"/>
  <c r="P305" i="19"/>
  <c r="O305" i="19"/>
  <c r="N303" i="19"/>
  <c r="N301" i="19" s="1"/>
  <c r="M303" i="19"/>
  <c r="M301" i="19" s="1"/>
  <c r="L303" i="19"/>
  <c r="L301" i="19" s="1"/>
  <c r="P302" i="19"/>
  <c r="O302" i="19"/>
  <c r="O299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J288" i="19" s="1"/>
  <c r="I287" i="19"/>
  <c r="K287" i="19" s="1"/>
  <c r="N285" i="19"/>
  <c r="N283" i="19" s="1"/>
  <c r="M285" i="19"/>
  <c r="M283" i="19" s="1"/>
  <c r="P283" i="19" s="1"/>
  <c r="L285" i="19"/>
  <c r="O285" i="19" s="1"/>
  <c r="P284" i="19"/>
  <c r="O284" i="19"/>
  <c r="N282" i="19"/>
  <c r="N280" i="19" s="1"/>
  <c r="M282" i="19"/>
  <c r="M280" i="19" s="1"/>
  <c r="L282" i="19"/>
  <c r="L280" i="19" s="1"/>
  <c r="P281" i="19"/>
  <c r="O281" i="19"/>
  <c r="P278" i="19"/>
  <c r="O278" i="19"/>
  <c r="N278" i="19"/>
  <c r="M278" i="19"/>
  <c r="L278" i="19"/>
  <c r="J276" i="19"/>
  <c r="I271" i="19"/>
  <c r="I260" i="19" s="1"/>
  <c r="N269" i="19"/>
  <c r="N267" i="19" s="1"/>
  <c r="M269" i="19"/>
  <c r="P269" i="19" s="1"/>
  <c r="L269" i="19"/>
  <c r="L267" i="19" s="1"/>
  <c r="O267" i="19" s="1"/>
  <c r="P268" i="19"/>
  <c r="O268" i="19"/>
  <c r="N266" i="19"/>
  <c r="N264" i="19" s="1"/>
  <c r="M266" i="19"/>
  <c r="L266" i="19"/>
  <c r="L264" i="19" s="1"/>
  <c r="P265" i="19"/>
  <c r="O265" i="19"/>
  <c r="O262" i="19"/>
  <c r="N262" i="19"/>
  <c r="M262" i="19"/>
  <c r="P262" i="19" s="1"/>
  <c r="L262" i="19"/>
  <c r="J260" i="19"/>
  <c r="K258" i="19"/>
  <c r="K257" i="19"/>
  <c r="I255" i="19"/>
  <c r="I248" i="19" s="1"/>
  <c r="K248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N227" i="19" s="1"/>
  <c r="J237" i="19"/>
  <c r="J236" i="19"/>
  <c r="I236" i="19"/>
  <c r="K236" i="19" s="1"/>
  <c r="J235" i="19"/>
  <c r="I235" i="19"/>
  <c r="K235" i="19" s="1"/>
  <c r="J233" i="19"/>
  <c r="N231" i="19"/>
  <c r="N230" i="19"/>
  <c r="N229" i="19"/>
  <c r="N228" i="19"/>
  <c r="J226" i="19"/>
  <c r="J180" i="19" s="1"/>
  <c r="I225" i="19"/>
  <c r="K225" i="19" s="1"/>
  <c r="I224" i="19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K204" i="19" s="1"/>
  <c r="L202" i="19"/>
  <c r="L201" i="19"/>
  <c r="L200" i="19"/>
  <c r="L199" i="19"/>
  <c r="P198" i="19"/>
  <c r="N198" i="19"/>
  <c r="J197" i="19"/>
  <c r="J195" i="19"/>
  <c r="J194" i="19" s="1"/>
  <c r="I193" i="19"/>
  <c r="K193" i="19" s="1"/>
  <c r="P191" i="19"/>
  <c r="L191" i="19"/>
  <c r="O191" i="19" s="1"/>
  <c r="J190" i="19"/>
  <c r="N189" i="19"/>
  <c r="N187" i="19" s="1"/>
  <c r="M189" i="19"/>
  <c r="L189" i="19"/>
  <c r="O189" i="19" s="1"/>
  <c r="P188" i="19"/>
  <c r="O188" i="19"/>
  <c r="N186" i="19"/>
  <c r="M186" i="19"/>
  <c r="L186" i="19"/>
  <c r="L184" i="19" s="1"/>
  <c r="P185" i="19"/>
  <c r="O185" i="19"/>
  <c r="N182" i="19"/>
  <c r="M182" i="19"/>
  <c r="P182" i="19" s="1"/>
  <c r="L182" i="19"/>
  <c r="J177" i="19"/>
  <c r="I176" i="19"/>
  <c r="J174" i="19"/>
  <c r="N173" i="19"/>
  <c r="N171" i="19" s="1"/>
  <c r="M173" i="19"/>
  <c r="L173" i="19"/>
  <c r="L171" i="19" s="1"/>
  <c r="O171" i="19" s="1"/>
  <c r="P172" i="19"/>
  <c r="O172" i="19"/>
  <c r="N170" i="19"/>
  <c r="M170" i="19"/>
  <c r="L170" i="19"/>
  <c r="L168" i="19" s="1"/>
  <c r="P169" i="19"/>
  <c r="O169" i="19"/>
  <c r="N166" i="19"/>
  <c r="M166" i="19"/>
  <c r="P166" i="19" s="1"/>
  <c r="L166" i="19"/>
  <c r="O166" i="19" s="1"/>
  <c r="J164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M154" i="19"/>
  <c r="M152" i="19" s="1"/>
  <c r="L154" i="19"/>
  <c r="P153" i="19"/>
  <c r="O153" i="19"/>
  <c r="P150" i="19"/>
  <c r="O150" i="19"/>
  <c r="N150" i="19"/>
  <c r="M150" i="19"/>
  <c r="L150" i="19"/>
  <c r="J148" i="19"/>
  <c r="I146" i="19"/>
  <c r="K146" i="19" s="1"/>
  <c r="I145" i="19"/>
  <c r="K145" i="19" s="1"/>
  <c r="I144" i="19"/>
  <c r="K144" i="19" s="1"/>
  <c r="N140" i="19"/>
  <c r="N138" i="19" s="1"/>
  <c r="M140" i="19"/>
  <c r="P140" i="19" s="1"/>
  <c r="L140" i="19"/>
  <c r="P139" i="19"/>
  <c r="O139" i="19"/>
  <c r="N137" i="19"/>
  <c r="N135" i="19" s="1"/>
  <c r="M137" i="19"/>
  <c r="P137" i="19" s="1"/>
  <c r="L137" i="19"/>
  <c r="O137" i="19" s="1"/>
  <c r="P136" i="19"/>
  <c r="O136" i="19"/>
  <c r="N133" i="19"/>
  <c r="M133" i="19"/>
  <c r="P133" i="19" s="1"/>
  <c r="L133" i="19"/>
  <c r="O133" i="19" s="1"/>
  <c r="J130" i="19"/>
  <c r="N127" i="19"/>
  <c r="N125" i="19" s="1"/>
  <c r="M127" i="19"/>
  <c r="P127" i="19" s="1"/>
  <c r="L127" i="19"/>
  <c r="O127" i="19" s="1"/>
  <c r="P126" i="19"/>
  <c r="O126" i="19"/>
  <c r="N124" i="19"/>
  <c r="M124" i="19"/>
  <c r="M122" i="19" s="1"/>
  <c r="P122" i="19" s="1"/>
  <c r="L124" i="19"/>
  <c r="P123" i="19"/>
  <c r="O123" i="19"/>
  <c r="P120" i="19"/>
  <c r="O120" i="19"/>
  <c r="N120" i="19"/>
  <c r="M120" i="19"/>
  <c r="L120" i="19"/>
  <c r="I116" i="19"/>
  <c r="K116" i="19" s="1"/>
  <c r="I115" i="19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I87" i="19" s="1"/>
  <c r="K87" i="19" s="1"/>
  <c r="J98" i="19"/>
  <c r="I98" i="19"/>
  <c r="K98" i="19" s="1"/>
  <c r="N96" i="19"/>
  <c r="M96" i="19"/>
  <c r="M94" i="19" s="1"/>
  <c r="P94" i="19" s="1"/>
  <c r="L96" i="19"/>
  <c r="L94" i="19" s="1"/>
  <c r="O94" i="19" s="1"/>
  <c r="P95" i="19"/>
  <c r="O95" i="19"/>
  <c r="N93" i="19"/>
  <c r="N91" i="19" s="1"/>
  <c r="M93" i="19"/>
  <c r="M91" i="19" s="1"/>
  <c r="L93" i="19"/>
  <c r="P92" i="19"/>
  <c r="O92" i="19"/>
  <c r="O89" i="19"/>
  <c r="N89" i="19"/>
  <c r="M89" i="19"/>
  <c r="P89" i="19" s="1"/>
  <c r="L89" i="19"/>
  <c r="J86" i="19"/>
  <c r="I84" i="19"/>
  <c r="K84" i="19" s="1"/>
  <c r="I83" i="19"/>
  <c r="K83" i="19" s="1"/>
  <c r="I82" i="19"/>
  <c r="K82" i="19" s="1"/>
  <c r="I81" i="19"/>
  <c r="K81" i="19" s="1"/>
  <c r="I80" i="19"/>
  <c r="I79" i="19"/>
  <c r="I78" i="19"/>
  <c r="K78" i="19" s="1"/>
  <c r="J77" i="19"/>
  <c r="J76" i="19"/>
  <c r="N74" i="19"/>
  <c r="N72" i="19" s="1"/>
  <c r="M74" i="19"/>
  <c r="P74" i="19" s="1"/>
  <c r="L74" i="19"/>
  <c r="L72" i="19" s="1"/>
  <c r="O72" i="19" s="1"/>
  <c r="P73" i="19"/>
  <c r="O73" i="19"/>
  <c r="N71" i="19"/>
  <c r="N69" i="19" s="1"/>
  <c r="M71" i="19"/>
  <c r="M69" i="19" s="1"/>
  <c r="L71" i="19"/>
  <c r="P70" i="19"/>
  <c r="O70" i="19"/>
  <c r="N67" i="19"/>
  <c r="M67" i="19"/>
  <c r="P67" i="19" s="1"/>
  <c r="L67" i="19"/>
  <c r="O67" i="19" s="1"/>
  <c r="J65" i="19"/>
  <c r="J64" i="19"/>
  <c r="N61" i="19"/>
  <c r="N59" i="19" s="1"/>
  <c r="M61" i="19"/>
  <c r="P61" i="19" s="1"/>
  <c r="L61" i="19"/>
  <c r="O61" i="19" s="1"/>
  <c r="P60" i="19"/>
  <c r="O60" i="19"/>
  <c r="N58" i="19"/>
  <c r="N56" i="19" s="1"/>
  <c r="M58" i="19"/>
  <c r="M56" i="19" s="1"/>
  <c r="L58" i="19"/>
  <c r="P57" i="19"/>
  <c r="O57" i="19"/>
  <c r="P54" i="19"/>
  <c r="O54" i="19"/>
  <c r="N54" i="19"/>
  <c r="M54" i="19"/>
  <c r="L54" i="19"/>
  <c r="N49" i="19"/>
  <c r="M49" i="19"/>
  <c r="P49" i="19" s="1"/>
  <c r="L49" i="19"/>
  <c r="L47" i="19" s="1"/>
  <c r="O47" i="19" s="1"/>
  <c r="P48" i="19"/>
  <c r="O48" i="19"/>
  <c r="N46" i="19"/>
  <c r="M46" i="19"/>
  <c r="L46" i="19"/>
  <c r="L44" i="19" s="1"/>
  <c r="P45" i="19"/>
  <c r="O45" i="19"/>
  <c r="N42" i="19"/>
  <c r="M42" i="19"/>
  <c r="L42" i="19"/>
  <c r="O42" i="19" s="1"/>
  <c r="P36" i="19"/>
  <c r="N36" i="19"/>
  <c r="M36" i="19"/>
  <c r="O35" i="19"/>
  <c r="N35" i="19"/>
  <c r="N34" i="19" s="1"/>
  <c r="M35" i="19"/>
  <c r="L35" i="19"/>
  <c r="M33" i="19"/>
  <c r="P32" i="19"/>
  <c r="N32" i="19"/>
  <c r="M32" i="19"/>
  <c r="L32" i="19"/>
  <c r="P25" i="19"/>
  <c r="N25" i="19"/>
  <c r="M25" i="19"/>
  <c r="L25" i="19"/>
  <c r="O22" i="19"/>
  <c r="N22" i="19"/>
  <c r="M22" i="19"/>
  <c r="P22" i="19" s="1"/>
  <c r="L22" i="19"/>
  <c r="L19" i="19"/>
  <c r="L12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P809" i="18"/>
  <c r="O809" i="18"/>
  <c r="P808" i="18"/>
  <c r="N808" i="18"/>
  <c r="M808" i="18"/>
  <c r="L808" i="18"/>
  <c r="O808" i="18" s="1"/>
  <c r="O807" i="18"/>
  <c r="N807" i="18"/>
  <c r="M807" i="18"/>
  <c r="P807" i="18" s="1"/>
  <c r="L807" i="18"/>
  <c r="P806" i="18"/>
  <c r="N806" i="18"/>
  <c r="N805" i="18" s="1"/>
  <c r="M806" i="18"/>
  <c r="L806" i="18"/>
  <c r="M805" i="18"/>
  <c r="P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P791" i="18"/>
  <c r="N791" i="18"/>
  <c r="N788" i="18" s="1"/>
  <c r="N786" i="18" s="1"/>
  <c r="L791" i="18"/>
  <c r="L788" i="18" s="1"/>
  <c r="P790" i="18"/>
  <c r="O790" i="18"/>
  <c r="N789" i="18"/>
  <c r="M789" i="18"/>
  <c r="P789" i="18" s="1"/>
  <c r="P788" i="18"/>
  <c r="M788" i="18"/>
  <c r="O787" i="18"/>
  <c r="N787" i="18"/>
  <c r="M787" i="18"/>
  <c r="M786" i="18" s="1"/>
  <c r="L787" i="18"/>
  <c r="P786" i="18"/>
  <c r="P782" i="18"/>
  <c r="O782" i="18"/>
  <c r="P781" i="18"/>
  <c r="O781" i="18"/>
  <c r="P780" i="18"/>
  <c r="N780" i="18"/>
  <c r="M780" i="18"/>
  <c r="L780" i="18"/>
  <c r="O780" i="18" s="1"/>
  <c r="P775" i="18"/>
  <c r="O775" i="18"/>
  <c r="N775" i="18"/>
  <c r="P774" i="18"/>
  <c r="O774" i="18"/>
  <c r="P773" i="18"/>
  <c r="N773" i="18"/>
  <c r="M773" i="18"/>
  <c r="L773" i="18"/>
  <c r="O773" i="18" s="1"/>
  <c r="O772" i="18"/>
  <c r="N772" i="18"/>
  <c r="M772" i="18"/>
  <c r="P772" i="18" s="1"/>
  <c r="L772" i="18"/>
  <c r="P771" i="18"/>
  <c r="N771" i="18"/>
  <c r="N770" i="18" s="1"/>
  <c r="M771" i="18"/>
  <c r="M770" i="18" s="1"/>
  <c r="P770" i="18" s="1"/>
  <c r="L771" i="18"/>
  <c r="K769" i="18"/>
  <c r="J769" i="18"/>
  <c r="P766" i="18"/>
  <c r="O766" i="18"/>
  <c r="P765" i="18"/>
  <c r="O765" i="18"/>
  <c r="P764" i="18"/>
  <c r="N764" i="18"/>
  <c r="M764" i="18"/>
  <c r="L764" i="18"/>
  <c r="O764" i="18" s="1"/>
  <c r="P759" i="18"/>
  <c r="O759" i="18"/>
  <c r="N759" i="18"/>
  <c r="P758" i="18"/>
  <c r="O758" i="18"/>
  <c r="P757" i="18"/>
  <c r="N757" i="18"/>
  <c r="M757" i="18"/>
  <c r="L757" i="18"/>
  <c r="O757" i="18" s="1"/>
  <c r="O756" i="18"/>
  <c r="N756" i="18"/>
  <c r="M756" i="18"/>
  <c r="P756" i="18" s="1"/>
  <c r="L756" i="18"/>
  <c r="P755" i="18"/>
  <c r="N755" i="18"/>
  <c r="N754" i="18" s="1"/>
  <c r="M755" i="18"/>
  <c r="L755" i="18"/>
  <c r="K753" i="18"/>
  <c r="J753" i="18"/>
  <c r="P749" i="18"/>
  <c r="O749" i="18"/>
  <c r="P748" i="18"/>
  <c r="O748" i="18"/>
  <c r="P747" i="18"/>
  <c r="N747" i="18"/>
  <c r="M747" i="18"/>
  <c r="L747" i="18"/>
  <c r="O747" i="18" s="1"/>
  <c r="P742" i="18"/>
  <c r="O742" i="18"/>
  <c r="N742" i="18"/>
  <c r="P741" i="18"/>
  <c r="O741" i="18"/>
  <c r="P740" i="18"/>
  <c r="N740" i="18"/>
  <c r="M740" i="18"/>
  <c r="L740" i="18"/>
  <c r="O740" i="18" s="1"/>
  <c r="O739" i="18"/>
  <c r="N739" i="18"/>
  <c r="M739" i="18"/>
  <c r="P739" i="18" s="1"/>
  <c r="L739" i="18"/>
  <c r="P738" i="18"/>
  <c r="N738" i="18"/>
  <c r="N737" i="18" s="1"/>
  <c r="M738" i="18"/>
  <c r="L738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P695" i="18"/>
  <c r="N695" i="18"/>
  <c r="M695" i="18"/>
  <c r="L695" i="18"/>
  <c r="O695" i="18" s="1"/>
  <c r="P690" i="18"/>
  <c r="N690" i="18"/>
  <c r="L690" i="18"/>
  <c r="L687" i="18" s="1"/>
  <c r="O687" i="18" s="1"/>
  <c r="N688" i="18"/>
  <c r="M688" i="18"/>
  <c r="P688" i="18" s="1"/>
  <c r="P687" i="18"/>
  <c r="N687" i="18"/>
  <c r="M687" i="18"/>
  <c r="O686" i="18"/>
  <c r="N686" i="18"/>
  <c r="M686" i="18"/>
  <c r="M685" i="18" s="1"/>
  <c r="P685" i="18" s="1"/>
  <c r="L686" i="18"/>
  <c r="N685" i="18"/>
  <c r="J679" i="18"/>
  <c r="J678" i="18" s="1"/>
  <c r="I678" i="18"/>
  <c r="K678" i="18" s="1"/>
  <c r="J675" i="18"/>
  <c r="J669" i="18" s="1"/>
  <c r="J654" i="18" s="1"/>
  <c r="I671" i="18"/>
  <c r="K671" i="18" s="1"/>
  <c r="I670" i="18"/>
  <c r="K670" i="18" s="1"/>
  <c r="I669" i="18"/>
  <c r="P667" i="18"/>
  <c r="O667" i="18"/>
  <c r="P666" i="18"/>
  <c r="O666" i="18"/>
  <c r="O665" i="18"/>
  <c r="N665" i="18"/>
  <c r="M665" i="18"/>
  <c r="P665" i="18" s="1"/>
  <c r="L665" i="18"/>
  <c r="P660" i="18"/>
  <c r="N660" i="18"/>
  <c r="L660" i="18"/>
  <c r="L657" i="18" s="1"/>
  <c r="P659" i="18"/>
  <c r="O659" i="18"/>
  <c r="P658" i="18"/>
  <c r="N658" i="18"/>
  <c r="M658" i="18"/>
  <c r="M657" i="18"/>
  <c r="P657" i="18" s="1"/>
  <c r="P656" i="18"/>
  <c r="N656" i="18"/>
  <c r="M656" i="18"/>
  <c r="L656" i="18"/>
  <c r="M655" i="18"/>
  <c r="P655" i="18" s="1"/>
  <c r="K652" i="18"/>
  <c r="J652" i="18"/>
  <c r="J651" i="18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P634" i="18"/>
  <c r="N634" i="18"/>
  <c r="N631" i="18" s="1"/>
  <c r="L634" i="18"/>
  <c r="O634" i="18" s="1"/>
  <c r="P633" i="18"/>
  <c r="O633" i="18"/>
  <c r="P632" i="18"/>
  <c r="N632" i="18"/>
  <c r="M632" i="18"/>
  <c r="L632" i="18"/>
  <c r="O632" i="18" s="1"/>
  <c r="M631" i="18"/>
  <c r="P631" i="18" s="1"/>
  <c r="P630" i="18"/>
  <c r="N630" i="18"/>
  <c r="N629" i="18" s="1"/>
  <c r="M630" i="18"/>
  <c r="L630" i="18"/>
  <c r="M629" i="18"/>
  <c r="P629" i="18" s="1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5" i="18"/>
  <c r="J594" i="18"/>
  <c r="I594" i="18"/>
  <c r="I593" i="18"/>
  <c r="I592" i="18" s="1"/>
  <c r="J583" i="18"/>
  <c r="J577" i="18" s="1"/>
  <c r="J582" i="18"/>
  <c r="I577" i="18"/>
  <c r="K577" i="18" s="1"/>
  <c r="J576" i="18"/>
  <c r="I576" i="18"/>
  <c r="I559" i="18" s="1"/>
  <c r="J569" i="18"/>
  <c r="I569" i="18"/>
  <c r="K569" i="18" s="1"/>
  <c r="J568" i="18"/>
  <c r="I568" i="18"/>
  <c r="J561" i="18"/>
  <c r="I561" i="18"/>
  <c r="K561" i="18" s="1"/>
  <c r="J560" i="18"/>
  <c r="I560" i="18"/>
  <c r="P557" i="18"/>
  <c r="L557" i="18"/>
  <c r="O557" i="18" s="1"/>
  <c r="P556" i="18"/>
  <c r="O556" i="18"/>
  <c r="P555" i="18"/>
  <c r="N555" i="18"/>
  <c r="N545" i="18" s="1"/>
  <c r="N544" i="18" s="1"/>
  <c r="M555" i="18"/>
  <c r="L555" i="18"/>
  <c r="O555" i="18" s="1"/>
  <c r="P549" i="18"/>
  <c r="N549" i="18"/>
  <c r="L549" i="18"/>
  <c r="L547" i="18" s="1"/>
  <c r="O547" i="18" s="1"/>
  <c r="P548" i="18"/>
  <c r="O548" i="18"/>
  <c r="N547" i="18"/>
  <c r="M547" i="18"/>
  <c r="P547" i="18" s="1"/>
  <c r="P546" i="18"/>
  <c r="N546" i="18"/>
  <c r="M546" i="18"/>
  <c r="O545" i="18"/>
  <c r="M545" i="18"/>
  <c r="L545" i="18"/>
  <c r="I542" i="18"/>
  <c r="K542" i="18" s="1"/>
  <c r="I541" i="18"/>
  <c r="K541" i="18" s="1"/>
  <c r="I540" i="18"/>
  <c r="K540" i="18" s="1"/>
  <c r="I539" i="18"/>
  <c r="I538" i="18"/>
  <c r="K538" i="18" s="1"/>
  <c r="I537" i="18"/>
  <c r="P535" i="18"/>
  <c r="L535" i="18"/>
  <c r="O535" i="18" s="1"/>
  <c r="P534" i="18"/>
  <c r="O534" i="18"/>
  <c r="P533" i="18"/>
  <c r="N533" i="18"/>
  <c r="M533" i="18"/>
  <c r="L533" i="18"/>
  <c r="O533" i="18" s="1"/>
  <c r="P528" i="18"/>
  <c r="N528" i="18"/>
  <c r="N525" i="18" s="1"/>
  <c r="L528" i="18"/>
  <c r="P527" i="18"/>
  <c r="O527" i="18"/>
  <c r="N526" i="18"/>
  <c r="M526" i="18"/>
  <c r="P526" i="18" s="1"/>
  <c r="P525" i="18"/>
  <c r="M525" i="18"/>
  <c r="O524" i="18"/>
  <c r="N524" i="18"/>
  <c r="M524" i="18"/>
  <c r="M523" i="18" s="1"/>
  <c r="P523" i="18" s="1"/>
  <c r="L524" i="18"/>
  <c r="N523" i="18"/>
  <c r="K517" i="18"/>
  <c r="J517" i="18"/>
  <c r="K516" i="18"/>
  <c r="P514" i="18"/>
  <c r="O514" i="18"/>
  <c r="P513" i="18"/>
  <c r="O513" i="18"/>
  <c r="O512" i="18"/>
  <c r="N512" i="18"/>
  <c r="M512" i="18"/>
  <c r="P512" i="18" s="1"/>
  <c r="L512" i="18"/>
  <c r="P507" i="18"/>
  <c r="O507" i="18"/>
  <c r="N507" i="18"/>
  <c r="N505" i="18" s="1"/>
  <c r="P506" i="18"/>
  <c r="O506" i="18"/>
  <c r="O505" i="18"/>
  <c r="M505" i="18"/>
  <c r="P505" i="18" s="1"/>
  <c r="L505" i="18"/>
  <c r="P504" i="18"/>
  <c r="N504" i="18"/>
  <c r="N502" i="18" s="1"/>
  <c r="M504" i="18"/>
  <c r="L504" i="18"/>
  <c r="O504" i="18" s="1"/>
  <c r="O503" i="18"/>
  <c r="N503" i="18"/>
  <c r="M503" i="18"/>
  <c r="L503" i="18"/>
  <c r="L502" i="18"/>
  <c r="O502" i="18" s="1"/>
  <c r="K501" i="18"/>
  <c r="J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P472" i="18"/>
  <c r="N472" i="18"/>
  <c r="L472" i="18"/>
  <c r="O472" i="18" s="1"/>
  <c r="P471" i="18"/>
  <c r="O471" i="18"/>
  <c r="P470" i="18"/>
  <c r="N470" i="18"/>
  <c r="M470" i="18"/>
  <c r="P469" i="18"/>
  <c r="N469" i="18"/>
  <c r="M469" i="18"/>
  <c r="O468" i="18"/>
  <c r="N468" i="18"/>
  <c r="M468" i="18"/>
  <c r="L468" i="18"/>
  <c r="N467" i="18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58" i="18"/>
  <c r="P456" i="18"/>
  <c r="L456" i="18"/>
  <c r="P455" i="18"/>
  <c r="O455" i="18"/>
  <c r="N454" i="18"/>
  <c r="M454" i="18"/>
  <c r="P454" i="18" s="1"/>
  <c r="P449" i="18"/>
  <c r="N449" i="18"/>
  <c r="N446" i="18" s="1"/>
  <c r="L449" i="18"/>
  <c r="O449" i="18" s="1"/>
  <c r="P448" i="18"/>
  <c r="O448" i="18"/>
  <c r="P447" i="18"/>
  <c r="N447" i="18"/>
  <c r="M447" i="18"/>
  <c r="P446" i="18"/>
  <c r="M446" i="18"/>
  <c r="P445" i="18"/>
  <c r="O445" i="18"/>
  <c r="N445" i="18"/>
  <c r="M445" i="18"/>
  <c r="L445" i="18"/>
  <c r="M444" i="18"/>
  <c r="P444" i="18" s="1"/>
  <c r="J443" i="18"/>
  <c r="J442" i="18"/>
  <c r="I441" i="18"/>
  <c r="K441" i="18" s="1"/>
  <c r="I440" i="18"/>
  <c r="I439" i="18"/>
  <c r="K439" i="18" s="1"/>
  <c r="I438" i="18"/>
  <c r="K438" i="18" s="1"/>
  <c r="I437" i="18"/>
  <c r="K437" i="18" s="1"/>
  <c r="I435" i="18"/>
  <c r="K435" i="18" s="1"/>
  <c r="J434" i="18"/>
  <c r="P431" i="18"/>
  <c r="L431" i="18"/>
  <c r="P430" i="18"/>
  <c r="O430" i="18"/>
  <c r="N429" i="18"/>
  <c r="M429" i="18"/>
  <c r="P429" i="18" s="1"/>
  <c r="P424" i="18"/>
  <c r="N424" i="18"/>
  <c r="N421" i="18" s="1"/>
  <c r="L424" i="18"/>
  <c r="O424" i="18" s="1"/>
  <c r="P423" i="18"/>
  <c r="O423" i="18"/>
  <c r="P422" i="18"/>
  <c r="N422" i="18"/>
  <c r="M422" i="18"/>
  <c r="P421" i="18"/>
  <c r="M421" i="18"/>
  <c r="P420" i="18"/>
  <c r="O420" i="18"/>
  <c r="N420" i="18"/>
  <c r="M420" i="18"/>
  <c r="L420" i="18"/>
  <c r="M419" i="18"/>
  <c r="J418" i="18"/>
  <c r="K413" i="18"/>
  <c r="K412" i="18"/>
  <c r="N410" i="18"/>
  <c r="N408" i="18" s="1"/>
  <c r="M410" i="18"/>
  <c r="M408" i="18" s="1"/>
  <c r="P408" i="18" s="1"/>
  <c r="L410" i="18"/>
  <c r="P409" i="18"/>
  <c r="O409" i="18"/>
  <c r="N407" i="18"/>
  <c r="N405" i="18" s="1"/>
  <c r="M407" i="18"/>
  <c r="L407" i="18"/>
  <c r="O407" i="18" s="1"/>
  <c r="P406" i="18"/>
  <c r="O406" i="18"/>
  <c r="N403" i="18"/>
  <c r="M403" i="18"/>
  <c r="P403" i="18" s="1"/>
  <c r="L403" i="18"/>
  <c r="O403" i="18" s="1"/>
  <c r="K401" i="18"/>
  <c r="J401" i="18"/>
  <c r="I401" i="18"/>
  <c r="K400" i="18"/>
  <c r="K399" i="18"/>
  <c r="N397" i="18"/>
  <c r="M397" i="18"/>
  <c r="P397" i="18" s="1"/>
  <c r="L397" i="18"/>
  <c r="L395" i="18" s="1"/>
  <c r="O395" i="18" s="1"/>
  <c r="P396" i="18"/>
  <c r="O396" i="18"/>
  <c r="N394" i="18"/>
  <c r="N392" i="18" s="1"/>
  <c r="M394" i="18"/>
  <c r="L394" i="18"/>
  <c r="O394" i="18" s="1"/>
  <c r="P393" i="18"/>
  <c r="O393" i="18"/>
  <c r="P390" i="18"/>
  <c r="O390" i="18"/>
  <c r="N390" i="18"/>
  <c r="M390" i="18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M351" i="18" s="1"/>
  <c r="L353" i="18"/>
  <c r="P352" i="18"/>
  <c r="O352" i="18"/>
  <c r="N350" i="18"/>
  <c r="M350" i="18"/>
  <c r="M348" i="18" s="1"/>
  <c r="L350" i="18"/>
  <c r="L348" i="18" s="1"/>
  <c r="P349" i="18"/>
  <c r="O349" i="18"/>
  <c r="P346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O336" i="18" s="1"/>
  <c r="P335" i="18"/>
  <c r="O335" i="18"/>
  <c r="N333" i="18"/>
  <c r="N331" i="18" s="1"/>
  <c r="M333" i="18"/>
  <c r="M331" i="18" s="1"/>
  <c r="L333" i="18"/>
  <c r="P332" i="18"/>
  <c r="O332" i="18"/>
  <c r="P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O323" i="18" s="1"/>
  <c r="P322" i="18"/>
  <c r="O322" i="18"/>
  <c r="N320" i="18"/>
  <c r="M320" i="18"/>
  <c r="P320" i="18" s="1"/>
  <c r="L320" i="18"/>
  <c r="P319" i="18"/>
  <c r="O319" i="18"/>
  <c r="P316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L306" i="18"/>
  <c r="L304" i="18" s="1"/>
  <c r="O304" i="18" s="1"/>
  <c r="P305" i="18"/>
  <c r="O305" i="18"/>
  <c r="N303" i="18"/>
  <c r="N301" i="18" s="1"/>
  <c r="M303" i="18"/>
  <c r="L303" i="18"/>
  <c r="O303" i="18" s="1"/>
  <c r="P302" i="18"/>
  <c r="O302" i="18"/>
  <c r="P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I287" i="18"/>
  <c r="I276" i="18" s="1"/>
  <c r="K276" i="18" s="1"/>
  <c r="N285" i="18"/>
  <c r="M285" i="18"/>
  <c r="P285" i="18" s="1"/>
  <c r="L285" i="18"/>
  <c r="O285" i="18" s="1"/>
  <c r="P284" i="18"/>
  <c r="O284" i="18"/>
  <c r="N282" i="18"/>
  <c r="N280" i="18" s="1"/>
  <c r="M282" i="18"/>
  <c r="M280" i="18" s="1"/>
  <c r="L282" i="18"/>
  <c r="P281" i="18"/>
  <c r="O281" i="18"/>
  <c r="O278" i="18"/>
  <c r="N278" i="18"/>
  <c r="M278" i="18"/>
  <c r="P278" i="18" s="1"/>
  <c r="L278" i="18"/>
  <c r="J276" i="18"/>
  <c r="I271" i="18"/>
  <c r="K271" i="18" s="1"/>
  <c r="N269" i="18"/>
  <c r="N267" i="18" s="1"/>
  <c r="M269" i="18"/>
  <c r="L269" i="18"/>
  <c r="O269" i="18" s="1"/>
  <c r="P268" i="18"/>
  <c r="O268" i="18"/>
  <c r="N266" i="18"/>
  <c r="N264" i="18" s="1"/>
  <c r="M266" i="18"/>
  <c r="M264" i="18" s="1"/>
  <c r="L266" i="18"/>
  <c r="P265" i="18"/>
  <c r="O265" i="18"/>
  <c r="O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N227" i="18" s="1"/>
  <c r="J248" i="18"/>
  <c r="K247" i="18"/>
  <c r="K246" i="18"/>
  <c r="I244" i="18"/>
  <c r="I237" i="18" s="1"/>
  <c r="L242" i="18"/>
  <c r="L241" i="18"/>
  <c r="L240" i="18"/>
  <c r="L239" i="18"/>
  <c r="P238" i="18"/>
  <c r="N238" i="18"/>
  <c r="J237" i="18"/>
  <c r="K236" i="18"/>
  <c r="J236" i="18"/>
  <c r="I236" i="18"/>
  <c r="J235" i="18"/>
  <c r="I235" i="18"/>
  <c r="K235" i="18" s="1"/>
  <c r="J233" i="18"/>
  <c r="N231" i="18"/>
  <c r="N230" i="18"/>
  <c r="N229" i="18"/>
  <c r="N228" i="18"/>
  <c r="J226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I190" i="18" s="1"/>
  <c r="P191" i="18"/>
  <c r="L191" i="18"/>
  <c r="O191" i="18" s="1"/>
  <c r="J190" i="18"/>
  <c r="N189" i="18"/>
  <c r="N187" i="18" s="1"/>
  <c r="M189" i="18"/>
  <c r="P189" i="18" s="1"/>
  <c r="L189" i="18"/>
  <c r="P188" i="18"/>
  <c r="O188" i="18"/>
  <c r="N186" i="18"/>
  <c r="N184" i="18" s="1"/>
  <c r="M186" i="18"/>
  <c r="M184" i="18" s="1"/>
  <c r="L186" i="18"/>
  <c r="P185" i="18"/>
  <c r="O185" i="18"/>
  <c r="O182" i="18"/>
  <c r="N182" i="18"/>
  <c r="M182" i="18"/>
  <c r="L182" i="18"/>
  <c r="J180" i="18"/>
  <c r="J177" i="18"/>
  <c r="I176" i="18"/>
  <c r="I174" i="18" s="1"/>
  <c r="J174" i="18"/>
  <c r="N173" i="18"/>
  <c r="N171" i="18" s="1"/>
  <c r="M173" i="18"/>
  <c r="P173" i="18" s="1"/>
  <c r="L173" i="18"/>
  <c r="L171" i="18" s="1"/>
  <c r="O171" i="18" s="1"/>
  <c r="P172" i="18"/>
  <c r="O172" i="18"/>
  <c r="N170" i="18"/>
  <c r="M170" i="18"/>
  <c r="M168" i="18" s="1"/>
  <c r="L170" i="18"/>
  <c r="P169" i="18"/>
  <c r="O169" i="18"/>
  <c r="O166" i="18"/>
  <c r="N166" i="18"/>
  <c r="M166" i="18"/>
  <c r="P166" i="18" s="1"/>
  <c r="L166" i="18"/>
  <c r="I159" i="18"/>
  <c r="K159" i="18" s="1"/>
  <c r="N157" i="18"/>
  <c r="N155" i="18" s="1"/>
  <c r="M157" i="18"/>
  <c r="P157" i="18" s="1"/>
  <c r="L157" i="18"/>
  <c r="O157" i="18" s="1"/>
  <c r="P156" i="18"/>
  <c r="O156" i="18"/>
  <c r="N154" i="18"/>
  <c r="N152" i="18" s="1"/>
  <c r="M154" i="18"/>
  <c r="L154" i="18"/>
  <c r="P153" i="18"/>
  <c r="O153" i="18"/>
  <c r="O150" i="18"/>
  <c r="N150" i="18"/>
  <c r="M150" i="18"/>
  <c r="L150" i="18"/>
  <c r="J148" i="18"/>
  <c r="I146" i="18"/>
  <c r="K146" i="18" s="1"/>
  <c r="I145" i="18"/>
  <c r="I143" i="18" s="1"/>
  <c r="I144" i="18"/>
  <c r="N140" i="18"/>
  <c r="N138" i="18" s="1"/>
  <c r="M140" i="18"/>
  <c r="L140" i="18"/>
  <c r="O140" i="18" s="1"/>
  <c r="P139" i="18"/>
  <c r="O139" i="18"/>
  <c r="N137" i="18"/>
  <c r="N135" i="18" s="1"/>
  <c r="M137" i="18"/>
  <c r="L137" i="18"/>
  <c r="P136" i="18"/>
  <c r="O136" i="18"/>
  <c r="N133" i="18"/>
  <c r="M133" i="18"/>
  <c r="L133" i="18"/>
  <c r="J130" i="18"/>
  <c r="N127" i="18"/>
  <c r="N125" i="18" s="1"/>
  <c r="M127" i="18"/>
  <c r="M125" i="18" s="1"/>
  <c r="L127" i="18"/>
  <c r="P126" i="18"/>
  <c r="O126" i="18"/>
  <c r="N124" i="18"/>
  <c r="M124" i="18"/>
  <c r="L124" i="18"/>
  <c r="O124" i="18" s="1"/>
  <c r="P123" i="18"/>
  <c r="O123" i="18"/>
  <c r="P120" i="18"/>
  <c r="O120" i="18"/>
  <c r="N120" i="18"/>
  <c r="M120" i="18"/>
  <c r="L120" i="18"/>
  <c r="J118" i="18"/>
  <c r="K118" i="18" s="1"/>
  <c r="I116" i="18"/>
  <c r="K116" i="18" s="1"/>
  <c r="I115" i="18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I87" i="18" s="1"/>
  <c r="K87" i="18" s="1"/>
  <c r="J98" i="18"/>
  <c r="J86" i="18" s="1"/>
  <c r="I98" i="18"/>
  <c r="K98" i="18" s="1"/>
  <c r="N96" i="18"/>
  <c r="N94" i="18" s="1"/>
  <c r="M96" i="18"/>
  <c r="P96" i="18" s="1"/>
  <c r="L96" i="18"/>
  <c r="O96" i="18" s="1"/>
  <c r="P95" i="18"/>
  <c r="O95" i="18"/>
  <c r="N93" i="18"/>
  <c r="M93" i="18"/>
  <c r="M91" i="18" s="1"/>
  <c r="L93" i="18"/>
  <c r="L91" i="18" s="1"/>
  <c r="P92" i="18"/>
  <c r="O92" i="18"/>
  <c r="P89" i="18"/>
  <c r="O89" i="18"/>
  <c r="N89" i="18"/>
  <c r="M89" i="18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I78" i="18"/>
  <c r="J77" i="18"/>
  <c r="J65" i="18" s="1"/>
  <c r="J76" i="18"/>
  <c r="N74" i="18"/>
  <c r="N72" i="18" s="1"/>
  <c r="M74" i="18"/>
  <c r="L74" i="18"/>
  <c r="O74" i="18" s="1"/>
  <c r="P73" i="18"/>
  <c r="O73" i="18"/>
  <c r="N71" i="18"/>
  <c r="N69" i="18" s="1"/>
  <c r="M71" i="18"/>
  <c r="M69" i="18" s="1"/>
  <c r="L71" i="18"/>
  <c r="P70" i="18"/>
  <c r="O70" i="18"/>
  <c r="P67" i="18"/>
  <c r="N67" i="18"/>
  <c r="M67" i="18"/>
  <c r="L67" i="18"/>
  <c r="J64" i="18"/>
  <c r="N61" i="18"/>
  <c r="N59" i="18" s="1"/>
  <c r="M61" i="18"/>
  <c r="L61" i="18"/>
  <c r="P60" i="18"/>
  <c r="O60" i="18"/>
  <c r="N58" i="18"/>
  <c r="N56" i="18" s="1"/>
  <c r="M58" i="18"/>
  <c r="M56" i="18" s="1"/>
  <c r="L58" i="18"/>
  <c r="L56" i="18" s="1"/>
  <c r="P57" i="18"/>
  <c r="O57" i="18"/>
  <c r="O54" i="18"/>
  <c r="N54" i="18"/>
  <c r="M54" i="18"/>
  <c r="P54" i="18" s="1"/>
  <c r="L54" i="18"/>
  <c r="N49" i="18"/>
  <c r="N47" i="18" s="1"/>
  <c r="M49" i="18"/>
  <c r="M47" i="18" s="1"/>
  <c r="P47" i="18" s="1"/>
  <c r="L49" i="18"/>
  <c r="O49" i="18" s="1"/>
  <c r="P48" i="18"/>
  <c r="O48" i="18"/>
  <c r="N46" i="18"/>
  <c r="N44" i="18" s="1"/>
  <c r="M46" i="18"/>
  <c r="L46" i="18"/>
  <c r="L44" i="18" s="1"/>
  <c r="P45" i="18"/>
  <c r="O45" i="18"/>
  <c r="P42" i="18"/>
  <c r="N42" i="18"/>
  <c r="M42" i="18"/>
  <c r="L42" i="18"/>
  <c r="N36" i="18"/>
  <c r="M36" i="18"/>
  <c r="P36" i="18" s="1"/>
  <c r="N35" i="18"/>
  <c r="M35" i="18"/>
  <c r="P35" i="18" s="1"/>
  <c r="L35" i="18"/>
  <c r="O35" i="18" s="1"/>
  <c r="P33" i="18"/>
  <c r="N33" i="18"/>
  <c r="M33" i="18"/>
  <c r="P32" i="18"/>
  <c r="O32" i="18"/>
  <c r="N32" i="18"/>
  <c r="M32" i="18"/>
  <c r="L32" i="18"/>
  <c r="P31" i="18"/>
  <c r="N31" i="18"/>
  <c r="M31" i="18"/>
  <c r="N30" i="18"/>
  <c r="N29" i="18"/>
  <c r="L29" i="18"/>
  <c r="O29" i="18" s="1"/>
  <c r="P25" i="18"/>
  <c r="O25" i="18"/>
  <c r="N25" i="18"/>
  <c r="M25" i="18"/>
  <c r="L25" i="18"/>
  <c r="N22" i="18"/>
  <c r="M22" i="18"/>
  <c r="L22" i="18"/>
  <c r="N15" i="18"/>
  <c r="L15" i="18"/>
  <c r="O15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N807" i="17" s="1"/>
  <c r="P809" i="17"/>
  <c r="O809" i="17"/>
  <c r="N808" i="17"/>
  <c r="M808" i="17"/>
  <c r="P808" i="17" s="1"/>
  <c r="L808" i="17"/>
  <c r="O808" i="17" s="1"/>
  <c r="M807" i="17"/>
  <c r="L807" i="17"/>
  <c r="O807" i="17" s="1"/>
  <c r="P806" i="17"/>
  <c r="N806" i="17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L791" i="17"/>
  <c r="O791" i="17" s="1"/>
  <c r="P790" i="17"/>
  <c r="O790" i="17"/>
  <c r="N789" i="17"/>
  <c r="M789" i="17"/>
  <c r="P789" i="17" s="1"/>
  <c r="M788" i="17"/>
  <c r="P787" i="17"/>
  <c r="N787" i="17"/>
  <c r="N786" i="17" s="1"/>
  <c r="M787" i="17"/>
  <c r="L787" i="17"/>
  <c r="P782" i="17"/>
  <c r="O782" i="17"/>
  <c r="P781" i="17"/>
  <c r="O781" i="17"/>
  <c r="P780" i="17"/>
  <c r="O780" i="17"/>
  <c r="N780" i="17"/>
  <c r="M780" i="17"/>
  <c r="L780" i="17"/>
  <c r="P775" i="17"/>
  <c r="O775" i="17"/>
  <c r="N775" i="17"/>
  <c r="N773" i="17" s="1"/>
  <c r="P774" i="17"/>
  <c r="O774" i="17"/>
  <c r="O773" i="17"/>
  <c r="M773" i="17"/>
  <c r="P773" i="17" s="1"/>
  <c r="L773" i="17"/>
  <c r="N772" i="17"/>
  <c r="N770" i="17" s="1"/>
  <c r="M772" i="17"/>
  <c r="P772" i="17" s="1"/>
  <c r="L772" i="17"/>
  <c r="O772" i="17" s="1"/>
  <c r="N771" i="17"/>
  <c r="M771" i="17"/>
  <c r="L771" i="17"/>
  <c r="O771" i="17" s="1"/>
  <c r="L770" i="17"/>
  <c r="O770" i="17" s="1"/>
  <c r="K769" i="17"/>
  <c r="J769" i="17"/>
  <c r="P766" i="17"/>
  <c r="O766" i="17"/>
  <c r="P765" i="17"/>
  <c r="O765" i="17"/>
  <c r="P764" i="17"/>
  <c r="O764" i="17"/>
  <c r="N764" i="17"/>
  <c r="M764" i="17"/>
  <c r="L764" i="17"/>
  <c r="P759" i="17"/>
  <c r="O759" i="17"/>
  <c r="N759" i="17"/>
  <c r="N757" i="17" s="1"/>
  <c r="P758" i="17"/>
  <c r="O758" i="17"/>
  <c r="O757" i="17"/>
  <c r="M757" i="17"/>
  <c r="P757" i="17" s="1"/>
  <c r="L757" i="17"/>
  <c r="N756" i="17"/>
  <c r="N754" i="17" s="1"/>
  <c r="M756" i="17"/>
  <c r="P756" i="17" s="1"/>
  <c r="L756" i="17"/>
  <c r="O756" i="17" s="1"/>
  <c r="N755" i="17"/>
  <c r="M755" i="17"/>
  <c r="L755" i="17"/>
  <c r="O755" i="17" s="1"/>
  <c r="L754" i="17"/>
  <c r="O754" i="17" s="1"/>
  <c r="K753" i="17"/>
  <c r="J753" i="17"/>
  <c r="P749" i="17"/>
  <c r="O749" i="17"/>
  <c r="P748" i="17"/>
  <c r="O748" i="17"/>
  <c r="P747" i="17"/>
  <c r="O747" i="17"/>
  <c r="N747" i="17"/>
  <c r="M747" i="17"/>
  <c r="L747" i="17"/>
  <c r="P742" i="17"/>
  <c r="O742" i="17"/>
  <c r="N742" i="17"/>
  <c r="N740" i="17" s="1"/>
  <c r="P741" i="17"/>
  <c r="O741" i="17"/>
  <c r="O740" i="17"/>
  <c r="M740" i="17"/>
  <c r="P740" i="17" s="1"/>
  <c r="L740" i="17"/>
  <c r="N739" i="17"/>
  <c r="N737" i="17" s="1"/>
  <c r="M739" i="17"/>
  <c r="P739" i="17" s="1"/>
  <c r="L739" i="17"/>
  <c r="O739" i="17" s="1"/>
  <c r="N738" i="17"/>
  <c r="M738" i="17"/>
  <c r="L738" i="17"/>
  <c r="O738" i="17" s="1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P695" i="17"/>
  <c r="O695" i="17"/>
  <c r="N695" i="17"/>
  <c r="M695" i="17"/>
  <c r="L695" i="17"/>
  <c r="P690" i="17"/>
  <c r="N690" i="17"/>
  <c r="L690" i="17"/>
  <c r="L687" i="17" s="1"/>
  <c r="N688" i="17"/>
  <c r="M688" i="17"/>
  <c r="P688" i="17" s="1"/>
  <c r="M687" i="17"/>
  <c r="P686" i="17"/>
  <c r="N686" i="17"/>
  <c r="M686" i="17"/>
  <c r="L686" i="17"/>
  <c r="J679" i="17"/>
  <c r="J678" i="17" s="1"/>
  <c r="I678" i="17"/>
  <c r="K678" i="17" s="1"/>
  <c r="J675" i="17"/>
  <c r="I671" i="17"/>
  <c r="K671" i="17" s="1"/>
  <c r="I670" i="17"/>
  <c r="K670" i="17" s="1"/>
  <c r="J669" i="17"/>
  <c r="I669" i="17"/>
  <c r="K674" i="17" s="1"/>
  <c r="P667" i="17"/>
  <c r="O667" i="17"/>
  <c r="P666" i="17"/>
  <c r="O666" i="17"/>
  <c r="P665" i="17"/>
  <c r="N665" i="17"/>
  <c r="M665" i="17"/>
  <c r="L665" i="17"/>
  <c r="O665" i="17" s="1"/>
  <c r="P660" i="17"/>
  <c r="N660" i="17"/>
  <c r="L660" i="17"/>
  <c r="P659" i="17"/>
  <c r="O659" i="17"/>
  <c r="P658" i="17"/>
  <c r="N658" i="17"/>
  <c r="M658" i="17"/>
  <c r="P657" i="17"/>
  <c r="N657" i="17"/>
  <c r="M657" i="17"/>
  <c r="O656" i="17"/>
  <c r="N656" i="17"/>
  <c r="M656" i="17"/>
  <c r="M655" i="17" s="1"/>
  <c r="P655" i="17" s="1"/>
  <c r="L656" i="17"/>
  <c r="N655" i="17"/>
  <c r="K652" i="17"/>
  <c r="J652" i="17"/>
  <c r="J651" i="17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N639" i="17"/>
  <c r="M639" i="17"/>
  <c r="P639" i="17" s="1"/>
  <c r="P634" i="17"/>
  <c r="N634" i="17"/>
  <c r="L634" i="17"/>
  <c r="P633" i="17"/>
  <c r="O633" i="17"/>
  <c r="N632" i="17"/>
  <c r="M632" i="17"/>
  <c r="P632" i="17" s="1"/>
  <c r="P631" i="17"/>
  <c r="N631" i="17"/>
  <c r="M631" i="17"/>
  <c r="P630" i="17"/>
  <c r="O630" i="17"/>
  <c r="N630" i="17"/>
  <c r="M630" i="17"/>
  <c r="M629" i="17" s="1"/>
  <c r="P629" i="17" s="1"/>
  <c r="L630" i="17"/>
  <c r="N629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6" i="17"/>
  <c r="J595" i="17"/>
  <c r="I594" i="17"/>
  <c r="K594" i="17" s="1"/>
  <c r="J593" i="17"/>
  <c r="I593" i="17"/>
  <c r="I592" i="17" s="1"/>
  <c r="K592" i="17" s="1"/>
  <c r="J592" i="17"/>
  <c r="J583" i="17"/>
  <c r="J582" i="17"/>
  <c r="J576" i="17" s="1"/>
  <c r="J577" i="17"/>
  <c r="I577" i="17"/>
  <c r="I576" i="17"/>
  <c r="I559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M555" i="17"/>
  <c r="P549" i="17"/>
  <c r="N549" i="17"/>
  <c r="L549" i="17"/>
  <c r="L547" i="17" s="1"/>
  <c r="P548" i="17"/>
  <c r="O548" i="17"/>
  <c r="P547" i="17"/>
  <c r="N547" i="17"/>
  <c r="M547" i="17"/>
  <c r="N546" i="17"/>
  <c r="M546" i="17"/>
  <c r="P546" i="17" s="1"/>
  <c r="N545" i="17"/>
  <c r="M545" i="17"/>
  <c r="P545" i="17" s="1"/>
  <c r="L545" i="17"/>
  <c r="O545" i="17" s="1"/>
  <c r="M544" i="17"/>
  <c r="P544" i="17" s="1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L533" i="17" s="1"/>
  <c r="O533" i="17" s="1"/>
  <c r="P534" i="17"/>
  <c r="O534" i="17"/>
  <c r="N533" i="17"/>
  <c r="M533" i="17"/>
  <c r="P533" i="17" s="1"/>
  <c r="P528" i="17"/>
  <c r="N528" i="17"/>
  <c r="N525" i="17" s="1"/>
  <c r="L528" i="17"/>
  <c r="O528" i="17" s="1"/>
  <c r="P527" i="17"/>
  <c r="O527" i="17"/>
  <c r="N526" i="17"/>
  <c r="M526" i="17"/>
  <c r="P526" i="17" s="1"/>
  <c r="M525" i="17"/>
  <c r="P524" i="17"/>
  <c r="N524" i="17"/>
  <c r="N523" i="17" s="1"/>
  <c r="M524" i="17"/>
  <c r="L524" i="17"/>
  <c r="K517" i="17"/>
  <c r="J517" i="17"/>
  <c r="K516" i="17"/>
  <c r="P514" i="17"/>
  <c r="O514" i="17"/>
  <c r="P513" i="17"/>
  <c r="O513" i="17"/>
  <c r="N512" i="17"/>
  <c r="M512" i="17"/>
  <c r="P512" i="17" s="1"/>
  <c r="L512" i="17"/>
  <c r="O512" i="17" s="1"/>
  <c r="P507" i="17"/>
  <c r="O507" i="17"/>
  <c r="N507" i="17"/>
  <c r="P506" i="17"/>
  <c r="O506" i="17"/>
  <c r="P505" i="17"/>
  <c r="N505" i="17"/>
  <c r="M505" i="17"/>
  <c r="L505" i="17"/>
  <c r="O505" i="17" s="1"/>
  <c r="P504" i="17"/>
  <c r="O504" i="17"/>
  <c r="N504" i="17"/>
  <c r="M504" i="17"/>
  <c r="L504" i="17"/>
  <c r="P503" i="17"/>
  <c r="O503" i="17"/>
  <c r="N503" i="17"/>
  <c r="N502" i="17" s="1"/>
  <c r="M503" i="17"/>
  <c r="L503" i="17"/>
  <c r="O502" i="17"/>
  <c r="M502" i="17"/>
  <c r="P502" i="17" s="1"/>
  <c r="L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P472" i="17"/>
  <c r="N472" i="17"/>
  <c r="L472" i="17"/>
  <c r="L470" i="17" s="1"/>
  <c r="O470" i="17" s="1"/>
  <c r="P471" i="17"/>
  <c r="O471" i="17"/>
  <c r="P470" i="17"/>
  <c r="N470" i="17"/>
  <c r="M470" i="17"/>
  <c r="P469" i="17"/>
  <c r="M469" i="17"/>
  <c r="P468" i="17"/>
  <c r="O468" i="17"/>
  <c r="N468" i="17"/>
  <c r="M468" i="17"/>
  <c r="L468" i="17"/>
  <c r="M467" i="17"/>
  <c r="P467" i="17" s="1"/>
  <c r="J466" i="17"/>
  <c r="I466" i="17"/>
  <c r="K466" i="17" s="1"/>
  <c r="J465" i="17"/>
  <c r="I465" i="17"/>
  <c r="I464" i="17"/>
  <c r="I463" i="17"/>
  <c r="I462" i="17"/>
  <c r="K462" i="17" s="1"/>
  <c r="I460" i="17"/>
  <c r="I442" i="17" s="1"/>
  <c r="K442" i="17" s="1"/>
  <c r="K458" i="17"/>
  <c r="P456" i="17"/>
  <c r="L456" i="17"/>
  <c r="O456" i="17" s="1"/>
  <c r="P455" i="17"/>
  <c r="O455" i="17"/>
  <c r="N454" i="17"/>
  <c r="M454" i="17"/>
  <c r="P454" i="17" s="1"/>
  <c r="P449" i="17"/>
  <c r="N449" i="17"/>
  <c r="L449" i="17"/>
  <c r="L447" i="17" s="1"/>
  <c r="O447" i="17" s="1"/>
  <c r="P448" i="17"/>
  <c r="O448" i="17"/>
  <c r="N447" i="17"/>
  <c r="M447" i="17"/>
  <c r="P447" i="17" s="1"/>
  <c r="P446" i="17"/>
  <c r="N446" i="17"/>
  <c r="M446" i="17"/>
  <c r="P445" i="17"/>
  <c r="O445" i="17"/>
  <c r="N445" i="17"/>
  <c r="M445" i="17"/>
  <c r="M444" i="17" s="1"/>
  <c r="L445" i="17"/>
  <c r="P444" i="17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I435" i="17"/>
  <c r="K435" i="17" s="1"/>
  <c r="J434" i="17"/>
  <c r="P431" i="17"/>
  <c r="L431" i="17"/>
  <c r="O431" i="17" s="1"/>
  <c r="P430" i="17"/>
  <c r="O430" i="17"/>
  <c r="N429" i="17"/>
  <c r="M429" i="17"/>
  <c r="P429" i="17" s="1"/>
  <c r="P424" i="17"/>
  <c r="N424" i="17"/>
  <c r="L424" i="17"/>
  <c r="O424" i="17" s="1"/>
  <c r="P423" i="17"/>
  <c r="O423" i="17"/>
  <c r="N422" i="17"/>
  <c r="M422" i="17"/>
  <c r="P422" i="17" s="1"/>
  <c r="P421" i="17"/>
  <c r="N421" i="17"/>
  <c r="M421" i="17"/>
  <c r="P420" i="17"/>
  <c r="O420" i="17"/>
  <c r="N420" i="17"/>
  <c r="M420" i="17"/>
  <c r="L420" i="17"/>
  <c r="P419" i="17"/>
  <c r="N419" i="17"/>
  <c r="M419" i="17"/>
  <c r="J418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M405" i="17" s="1"/>
  <c r="P405" i="17" s="1"/>
  <c r="L407" i="17"/>
  <c r="O407" i="17" s="1"/>
  <c r="P406" i="17"/>
  <c r="O406" i="17"/>
  <c r="O403" i="17"/>
  <c r="N403" i="17"/>
  <c r="M403" i="17"/>
  <c r="L403" i="17"/>
  <c r="J401" i="17"/>
  <c r="I401" i="17"/>
  <c r="K401" i="17" s="1"/>
  <c r="K400" i="17"/>
  <c r="K399" i="17"/>
  <c r="N397" i="17"/>
  <c r="M397" i="17"/>
  <c r="P397" i="17" s="1"/>
  <c r="L397" i="17"/>
  <c r="O397" i="17" s="1"/>
  <c r="P396" i="17"/>
  <c r="O396" i="17"/>
  <c r="N394" i="17"/>
  <c r="N392" i="17" s="1"/>
  <c r="M394" i="17"/>
  <c r="L394" i="17"/>
  <c r="O394" i="17" s="1"/>
  <c r="P393" i="17"/>
  <c r="O393" i="17"/>
  <c r="P390" i="17"/>
  <c r="O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L351" i="17" s="1"/>
  <c r="P352" i="17"/>
  <c r="O352" i="17"/>
  <c r="N350" i="17"/>
  <c r="M350" i="17"/>
  <c r="M348" i="17" s="1"/>
  <c r="L350" i="17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O336" i="17" s="1"/>
  <c r="P335" i="17"/>
  <c r="O335" i="17"/>
  <c r="N333" i="17"/>
  <c r="N331" i="17" s="1"/>
  <c r="M333" i="17"/>
  <c r="L333" i="17"/>
  <c r="P332" i="17"/>
  <c r="O332" i="17"/>
  <c r="P329" i="17"/>
  <c r="O329" i="17"/>
  <c r="N329" i="17"/>
  <c r="M329" i="17"/>
  <c r="L329" i="17"/>
  <c r="I327" i="17"/>
  <c r="I325" i="17"/>
  <c r="K325" i="17" s="1"/>
  <c r="N323" i="17"/>
  <c r="N321" i="17" s="1"/>
  <c r="M323" i="17"/>
  <c r="L323" i="17"/>
  <c r="P322" i="17"/>
  <c r="O322" i="17"/>
  <c r="N320" i="17"/>
  <c r="M320" i="17"/>
  <c r="P320" i="17" s="1"/>
  <c r="L320" i="17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L304" i="17" s="1"/>
  <c r="O304" i="17" s="1"/>
  <c r="P305" i="17"/>
  <c r="O305" i="17"/>
  <c r="N303" i="17"/>
  <c r="N301" i="17" s="1"/>
  <c r="M303" i="17"/>
  <c r="P303" i="17" s="1"/>
  <c r="L303" i="17"/>
  <c r="O303" i="17" s="1"/>
  <c r="P302" i="17"/>
  <c r="O302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K288" i="17" s="1"/>
  <c r="I287" i="17"/>
  <c r="N285" i="17"/>
  <c r="M285" i="17"/>
  <c r="P285" i="17" s="1"/>
  <c r="L285" i="17"/>
  <c r="O285" i="17" s="1"/>
  <c r="P284" i="17"/>
  <c r="O284" i="17"/>
  <c r="N282" i="17"/>
  <c r="N280" i="17" s="1"/>
  <c r="M282" i="17"/>
  <c r="L282" i="17"/>
  <c r="P281" i="17"/>
  <c r="O281" i="17"/>
  <c r="O278" i="17"/>
  <c r="N278" i="17"/>
  <c r="M278" i="17"/>
  <c r="P278" i="17" s="1"/>
  <c r="L278" i="17"/>
  <c r="J276" i="17"/>
  <c r="I271" i="17"/>
  <c r="K271" i="17" s="1"/>
  <c r="N269" i="17"/>
  <c r="N267" i="17" s="1"/>
  <c r="M269" i="17"/>
  <c r="L269" i="17"/>
  <c r="O269" i="17" s="1"/>
  <c r="P268" i="17"/>
  <c r="O268" i="17"/>
  <c r="N266" i="17"/>
  <c r="N264" i="17" s="1"/>
  <c r="M266" i="17"/>
  <c r="L266" i="17"/>
  <c r="L264" i="17" s="1"/>
  <c r="P265" i="17"/>
  <c r="O265" i="17"/>
  <c r="N262" i="17"/>
  <c r="M262" i="17"/>
  <c r="P262" i="17" s="1"/>
  <c r="L262" i="17"/>
  <c r="O262" i="17" s="1"/>
  <c r="J260" i="17"/>
  <c r="K258" i="17"/>
  <c r="K257" i="17"/>
  <c r="I255" i="17"/>
  <c r="I248" i="17" s="1"/>
  <c r="K248" i="17" s="1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N227" i="17" s="1"/>
  <c r="J237" i="17"/>
  <c r="J236" i="17"/>
  <c r="I236" i="17"/>
  <c r="K236" i="17" s="1"/>
  <c r="K235" i="17"/>
  <c r="J235" i="17"/>
  <c r="I235" i="17"/>
  <c r="J233" i="17"/>
  <c r="N231" i="17"/>
  <c r="N230" i="17"/>
  <c r="N229" i="17"/>
  <c r="N228" i="17"/>
  <c r="J226" i="17"/>
  <c r="J180" i="17" s="1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N184" i="17" s="1"/>
  <c r="M186" i="17"/>
  <c r="L186" i="17"/>
  <c r="P185" i="17"/>
  <c r="O185" i="17"/>
  <c r="P182" i="17"/>
  <c r="N182" i="17"/>
  <c r="M182" i="17"/>
  <c r="L182" i="17"/>
  <c r="J177" i="17"/>
  <c r="I176" i="17"/>
  <c r="K176" i="17" s="1"/>
  <c r="J174" i="17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P170" i="17" s="1"/>
  <c r="L170" i="17"/>
  <c r="O170" i="17" s="1"/>
  <c r="P169" i="17"/>
  <c r="O169" i="17"/>
  <c r="P166" i="17"/>
  <c r="N166" i="17"/>
  <c r="M166" i="17"/>
  <c r="L166" i="17"/>
  <c r="J164" i="17"/>
  <c r="I159" i="17"/>
  <c r="K159" i="17" s="1"/>
  <c r="N157" i="17"/>
  <c r="N155" i="17" s="1"/>
  <c r="M157" i="17"/>
  <c r="L157" i="17"/>
  <c r="O157" i="17" s="1"/>
  <c r="P156" i="17"/>
  <c r="O156" i="17"/>
  <c r="N154" i="17"/>
  <c r="N152" i="17" s="1"/>
  <c r="M154" i="17"/>
  <c r="L154" i="17"/>
  <c r="O154" i="17" s="1"/>
  <c r="P153" i="17"/>
  <c r="O153" i="17"/>
  <c r="N150" i="17"/>
  <c r="M150" i="17"/>
  <c r="P150" i="17" s="1"/>
  <c r="L150" i="17"/>
  <c r="O150" i="17" s="1"/>
  <c r="J148" i="17"/>
  <c r="I146" i="17"/>
  <c r="I145" i="17"/>
  <c r="K145" i="17" s="1"/>
  <c r="I144" i="17"/>
  <c r="K144" i="17" s="1"/>
  <c r="N140" i="17"/>
  <c r="N138" i="17" s="1"/>
  <c r="M140" i="17"/>
  <c r="L140" i="17"/>
  <c r="P139" i="17"/>
  <c r="O139" i="17"/>
  <c r="N137" i="17"/>
  <c r="N135" i="17" s="1"/>
  <c r="M137" i="17"/>
  <c r="L137" i="17"/>
  <c r="L135" i="17" s="1"/>
  <c r="P136" i="17"/>
  <c r="O136" i="17"/>
  <c r="P133" i="17"/>
  <c r="O133" i="17"/>
  <c r="N133" i="17"/>
  <c r="M133" i="17"/>
  <c r="L133" i="17"/>
  <c r="J130" i="17"/>
  <c r="N127" i="17"/>
  <c r="N125" i="17" s="1"/>
  <c r="M127" i="17"/>
  <c r="L127" i="17"/>
  <c r="O127" i="17" s="1"/>
  <c r="P126" i="17"/>
  <c r="O126" i="17"/>
  <c r="N124" i="17"/>
  <c r="N122" i="17" s="1"/>
  <c r="M124" i="17"/>
  <c r="L124" i="17"/>
  <c r="O124" i="17" s="1"/>
  <c r="P123" i="17"/>
  <c r="O123" i="17"/>
  <c r="N120" i="17"/>
  <c r="M120" i="17"/>
  <c r="P120" i="17" s="1"/>
  <c r="L120" i="17"/>
  <c r="O120" i="17" s="1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K99" i="17" s="1"/>
  <c r="J98" i="17"/>
  <c r="J86" i="17" s="1"/>
  <c r="I98" i="17"/>
  <c r="I86" i="17" s="1"/>
  <c r="K86" i="17" s="1"/>
  <c r="N96" i="17"/>
  <c r="N94" i="17" s="1"/>
  <c r="M96" i="17"/>
  <c r="P96" i="17" s="1"/>
  <c r="L96" i="17"/>
  <c r="O96" i="17" s="1"/>
  <c r="P95" i="17"/>
  <c r="O95" i="17"/>
  <c r="N93" i="17"/>
  <c r="M93" i="17"/>
  <c r="L93" i="17"/>
  <c r="L91" i="17" s="1"/>
  <c r="P92" i="17"/>
  <c r="O92" i="17"/>
  <c r="P89" i="17"/>
  <c r="N89" i="17"/>
  <c r="M89" i="17"/>
  <c r="L89" i="17"/>
  <c r="O89" i="17" s="1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76" i="17"/>
  <c r="J64" i="17" s="1"/>
  <c r="N74" i="17"/>
  <c r="N72" i="17" s="1"/>
  <c r="M74" i="17"/>
  <c r="P74" i="17" s="1"/>
  <c r="L74" i="17"/>
  <c r="O74" i="17" s="1"/>
  <c r="P73" i="17"/>
  <c r="O73" i="17"/>
  <c r="N71" i="17"/>
  <c r="M71" i="17"/>
  <c r="L71" i="17"/>
  <c r="P70" i="17"/>
  <c r="O70" i="17"/>
  <c r="P67" i="17"/>
  <c r="N67" i="17"/>
  <c r="M67" i="17"/>
  <c r="L67" i="17"/>
  <c r="O67" i="17" s="1"/>
  <c r="J65" i="17"/>
  <c r="N61" i="17"/>
  <c r="N59" i="17" s="1"/>
  <c r="M61" i="17"/>
  <c r="M59" i="17" s="1"/>
  <c r="P59" i="17" s="1"/>
  <c r="L61" i="17"/>
  <c r="O61" i="17" s="1"/>
  <c r="P60" i="17"/>
  <c r="O60" i="17"/>
  <c r="N58" i="17"/>
  <c r="N56" i="17" s="1"/>
  <c r="M58" i="17"/>
  <c r="M56" i="17" s="1"/>
  <c r="L58" i="17"/>
  <c r="P57" i="17"/>
  <c r="O57" i="17"/>
  <c r="P54" i="17"/>
  <c r="N54" i="17"/>
  <c r="M54" i="17"/>
  <c r="L54" i="17"/>
  <c r="O54" i="17" s="1"/>
  <c r="N49" i="17"/>
  <c r="N47" i="17" s="1"/>
  <c r="M49" i="17"/>
  <c r="L49" i="17"/>
  <c r="O49" i="17" s="1"/>
  <c r="P48" i="17"/>
  <c r="O48" i="17"/>
  <c r="N46" i="17"/>
  <c r="M46" i="17"/>
  <c r="L46" i="17"/>
  <c r="P45" i="17"/>
  <c r="O45" i="17"/>
  <c r="O42" i="17"/>
  <c r="N42" i="17"/>
  <c r="M42" i="17"/>
  <c r="P42" i="17" s="1"/>
  <c r="L42" i="17"/>
  <c r="P36" i="17"/>
  <c r="N36" i="17"/>
  <c r="N30" i="17" s="1"/>
  <c r="M36" i="17"/>
  <c r="N35" i="17"/>
  <c r="N29" i="17" s="1"/>
  <c r="N28" i="17" s="1"/>
  <c r="M35" i="17"/>
  <c r="P35" i="17" s="1"/>
  <c r="L35" i="17"/>
  <c r="O35" i="17" s="1"/>
  <c r="P33" i="17"/>
  <c r="N33" i="17"/>
  <c r="M33" i="17"/>
  <c r="P32" i="17"/>
  <c r="O32" i="17"/>
  <c r="N32" i="17"/>
  <c r="M32" i="17"/>
  <c r="L32" i="17"/>
  <c r="N31" i="17"/>
  <c r="M31" i="17"/>
  <c r="P31" i="17" s="1"/>
  <c r="M30" i="17"/>
  <c r="P30" i="17" s="1"/>
  <c r="N25" i="17"/>
  <c r="N15" i="17" s="1"/>
  <c r="M25" i="17"/>
  <c r="P25" i="17" s="1"/>
  <c r="L25" i="17"/>
  <c r="O25" i="17" s="1"/>
  <c r="P22" i="17"/>
  <c r="O22" i="17"/>
  <c r="N22" i="17"/>
  <c r="M22" i="17"/>
  <c r="L22" i="17"/>
  <c r="N19" i="17"/>
  <c r="M19" i="17"/>
  <c r="P19" i="17" s="1"/>
  <c r="L19" i="17"/>
  <c r="O19" i="17" s="1"/>
  <c r="N12" i="17"/>
  <c r="N9" i="17" s="1"/>
  <c r="M12" i="17"/>
  <c r="P12" i="17" s="1"/>
  <c r="L12" i="17"/>
  <c r="O12" i="17" s="1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P809" i="16"/>
  <c r="O809" i="16"/>
  <c r="O808" i="16"/>
  <c r="N808" i="16"/>
  <c r="M808" i="16"/>
  <c r="P808" i="16" s="1"/>
  <c r="L808" i="16"/>
  <c r="N807" i="16"/>
  <c r="N805" i="16" s="1"/>
  <c r="M807" i="16"/>
  <c r="P807" i="16" s="1"/>
  <c r="L807" i="16"/>
  <c r="O807" i="16" s="1"/>
  <c r="N806" i="16"/>
  <c r="M806" i="16"/>
  <c r="P806" i="16" s="1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N796" i="16"/>
  <c r="M796" i="16"/>
  <c r="P796" i="16" s="1"/>
  <c r="L796" i="16"/>
  <c r="O796" i="16" s="1"/>
  <c r="P791" i="16"/>
  <c r="N791" i="16"/>
  <c r="L791" i="16"/>
  <c r="L788" i="16" s="1"/>
  <c r="P790" i="16"/>
  <c r="O790" i="16"/>
  <c r="P789" i="16"/>
  <c r="N789" i="16"/>
  <c r="M789" i="16"/>
  <c r="P788" i="16"/>
  <c r="N788" i="16"/>
  <c r="M788" i="16"/>
  <c r="P787" i="16"/>
  <c r="O787" i="16"/>
  <c r="N787" i="16"/>
  <c r="M787" i="16"/>
  <c r="L787" i="16"/>
  <c r="N786" i="16"/>
  <c r="M786" i="16"/>
  <c r="P786" i="16" s="1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N772" i="16" s="1"/>
  <c r="N770" i="16" s="1"/>
  <c r="P774" i="16"/>
  <c r="O774" i="16"/>
  <c r="M773" i="16"/>
  <c r="P773" i="16" s="1"/>
  <c r="L773" i="16"/>
  <c r="O773" i="16" s="1"/>
  <c r="P772" i="16"/>
  <c r="M772" i="16"/>
  <c r="L772" i="16"/>
  <c r="O772" i="16" s="1"/>
  <c r="P771" i="16"/>
  <c r="O771" i="16"/>
  <c r="N771" i="16"/>
  <c r="M771" i="16"/>
  <c r="L771" i="16"/>
  <c r="P770" i="16"/>
  <c r="M770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N756" i="16" s="1"/>
  <c r="N754" i="16" s="1"/>
  <c r="P758" i="16"/>
  <c r="O758" i="16"/>
  <c r="M757" i="16"/>
  <c r="P757" i="16" s="1"/>
  <c r="L757" i="16"/>
  <c r="O757" i="16" s="1"/>
  <c r="P756" i="16"/>
  <c r="M756" i="16"/>
  <c r="L756" i="16"/>
  <c r="O756" i="16" s="1"/>
  <c r="P755" i="16"/>
  <c r="O755" i="16"/>
  <c r="N755" i="16"/>
  <c r="M755" i="16"/>
  <c r="L755" i="16"/>
  <c r="P754" i="16"/>
  <c r="M754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N739" i="16" s="1"/>
  <c r="N737" i="16" s="1"/>
  <c r="P741" i="16"/>
  <c r="O741" i="16"/>
  <c r="M740" i="16"/>
  <c r="P740" i="16" s="1"/>
  <c r="L740" i="16"/>
  <c r="O740" i="16" s="1"/>
  <c r="P739" i="16"/>
  <c r="M739" i="16"/>
  <c r="L739" i="16"/>
  <c r="O739" i="16" s="1"/>
  <c r="P738" i="16"/>
  <c r="O738" i="16"/>
  <c r="N738" i="16"/>
  <c r="M738" i="16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P690" i="16"/>
  <c r="N690" i="16"/>
  <c r="L690" i="16"/>
  <c r="L688" i="16" s="1"/>
  <c r="P688" i="16"/>
  <c r="M688" i="16"/>
  <c r="P687" i="16"/>
  <c r="M687" i="16"/>
  <c r="P686" i="16"/>
  <c r="O686" i="16"/>
  <c r="N686" i="16"/>
  <c r="M686" i="16"/>
  <c r="L686" i="16"/>
  <c r="M685" i="16"/>
  <c r="P685" i="16" s="1"/>
  <c r="J679" i="16"/>
  <c r="J678" i="16"/>
  <c r="I678" i="16"/>
  <c r="K678" i="16" s="1"/>
  <c r="J675" i="16"/>
  <c r="I671" i="16"/>
  <c r="K671" i="16" s="1"/>
  <c r="I670" i="16"/>
  <c r="K670" i="16" s="1"/>
  <c r="J669" i="16"/>
  <c r="J654" i="16" s="1"/>
  <c r="I669" i="16"/>
  <c r="P667" i="16"/>
  <c r="O667" i="16"/>
  <c r="P666" i="16"/>
  <c r="O666" i="16"/>
  <c r="P665" i="16"/>
  <c r="O665" i="16"/>
  <c r="N665" i="16"/>
  <c r="M665" i="16"/>
  <c r="L665" i="16"/>
  <c r="P660" i="16"/>
  <c r="N660" i="16"/>
  <c r="L660" i="16"/>
  <c r="L658" i="16" s="1"/>
  <c r="P659" i="16"/>
  <c r="O659" i="16"/>
  <c r="M658" i="16"/>
  <c r="P658" i="16" s="1"/>
  <c r="M657" i="16"/>
  <c r="P657" i="16" s="1"/>
  <c r="N656" i="16"/>
  <c r="M656" i="16"/>
  <c r="L656" i="16"/>
  <c r="K652" i="16"/>
  <c r="J652" i="16"/>
  <c r="J651" i="16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P634" i="16"/>
  <c r="N634" i="16"/>
  <c r="L634" i="16"/>
  <c r="L632" i="16" s="1"/>
  <c r="O632" i="16" s="1"/>
  <c r="P633" i="16"/>
  <c r="O633" i="16"/>
  <c r="P632" i="16"/>
  <c r="N632" i="16"/>
  <c r="M632" i="16"/>
  <c r="P631" i="16"/>
  <c r="N631" i="16"/>
  <c r="M631" i="16"/>
  <c r="O630" i="16"/>
  <c r="N630" i="16"/>
  <c r="N629" i="16" s="1"/>
  <c r="M630" i="16"/>
  <c r="P630" i="16" s="1"/>
  <c r="L630" i="16"/>
  <c r="M629" i="16"/>
  <c r="P629" i="16" s="1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3" i="16" s="1"/>
  <c r="J596" i="16"/>
  <c r="J594" i="16" s="1"/>
  <c r="J595" i="16"/>
  <c r="I594" i="16"/>
  <c r="I593" i="16"/>
  <c r="I592" i="16" s="1"/>
  <c r="J583" i="16"/>
  <c r="J577" i="16" s="1"/>
  <c r="J582" i="16"/>
  <c r="I577" i="16"/>
  <c r="J576" i="16"/>
  <c r="J559" i="16" s="1"/>
  <c r="I576" i="16"/>
  <c r="I559" i="16" s="1"/>
  <c r="J569" i="16"/>
  <c r="I569" i="16"/>
  <c r="K569" i="16" s="1"/>
  <c r="J568" i="16"/>
  <c r="I568" i="16"/>
  <c r="J561" i="16"/>
  <c r="I561" i="16"/>
  <c r="K561" i="16" s="1"/>
  <c r="J560" i="16"/>
  <c r="I560" i="16"/>
  <c r="K560" i="16" s="1"/>
  <c r="P557" i="16"/>
  <c r="L557" i="16"/>
  <c r="P556" i="16"/>
  <c r="O556" i="16"/>
  <c r="N555" i="16"/>
  <c r="N545" i="16" s="1"/>
  <c r="M555" i="16"/>
  <c r="P555" i="16" s="1"/>
  <c r="P549" i="16"/>
  <c r="N549" i="16"/>
  <c r="N546" i="16" s="1"/>
  <c r="L549" i="16"/>
  <c r="P548" i="16"/>
  <c r="O548" i="16"/>
  <c r="N547" i="16"/>
  <c r="M547" i="16"/>
  <c r="P547" i="16" s="1"/>
  <c r="M546" i="16"/>
  <c r="P546" i="16" s="1"/>
  <c r="L545" i="16"/>
  <c r="J543" i="16"/>
  <c r="I542" i="16"/>
  <c r="K542" i="16" s="1"/>
  <c r="I541" i="16"/>
  <c r="K541" i="16" s="1"/>
  <c r="I540" i="16"/>
  <c r="K540" i="16" s="1"/>
  <c r="I539" i="16"/>
  <c r="K539" i="16" s="1"/>
  <c r="I538" i="16"/>
  <c r="I537" i="16"/>
  <c r="K537" i="16" s="1"/>
  <c r="P535" i="16"/>
  <c r="L535" i="16"/>
  <c r="P534" i="16"/>
  <c r="O534" i="16"/>
  <c r="N533" i="16"/>
  <c r="M533" i="16"/>
  <c r="P533" i="16" s="1"/>
  <c r="P528" i="16"/>
  <c r="N528" i="16"/>
  <c r="N525" i="16" s="1"/>
  <c r="N523" i="16" s="1"/>
  <c r="L528" i="16"/>
  <c r="O528" i="16" s="1"/>
  <c r="P527" i="16"/>
  <c r="O527" i="16"/>
  <c r="P526" i="16"/>
  <c r="N526" i="16"/>
  <c r="M526" i="16"/>
  <c r="P525" i="16"/>
  <c r="M525" i="16"/>
  <c r="P524" i="16"/>
  <c r="O524" i="16"/>
  <c r="N524" i="16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P506" i="16"/>
  <c r="O506" i="16"/>
  <c r="P505" i="16"/>
  <c r="O505" i="16"/>
  <c r="N505" i="16"/>
  <c r="M505" i="16"/>
  <c r="L505" i="16"/>
  <c r="O504" i="16"/>
  <c r="N504" i="16"/>
  <c r="M504" i="16"/>
  <c r="P504" i="16" s="1"/>
  <c r="L504" i="16"/>
  <c r="N503" i="16"/>
  <c r="N502" i="16" s="1"/>
  <c r="M503" i="16"/>
  <c r="P503" i="16" s="1"/>
  <c r="L503" i="16"/>
  <c r="O503" i="16" s="1"/>
  <c r="M502" i="16"/>
  <c r="P502" i="16" s="1"/>
  <c r="L502" i="16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P477" i="16"/>
  <c r="N477" i="16"/>
  <c r="M477" i="16"/>
  <c r="L477" i="16"/>
  <c r="O477" i="16" s="1"/>
  <c r="P472" i="16"/>
  <c r="N472" i="16"/>
  <c r="L472" i="16"/>
  <c r="P471" i="16"/>
  <c r="O471" i="16"/>
  <c r="P470" i="16"/>
  <c r="N470" i="16"/>
  <c r="M470" i="16"/>
  <c r="N469" i="16"/>
  <c r="M469" i="16"/>
  <c r="P469" i="16" s="1"/>
  <c r="N468" i="16"/>
  <c r="M468" i="16"/>
  <c r="P468" i="16" s="1"/>
  <c r="L468" i="16"/>
  <c r="O468" i="16" s="1"/>
  <c r="M467" i="16"/>
  <c r="P467" i="16" s="1"/>
  <c r="J466" i="16"/>
  <c r="I466" i="16"/>
  <c r="K466" i="16" s="1"/>
  <c r="J465" i="16"/>
  <c r="I465" i="16"/>
  <c r="I464" i="16"/>
  <c r="I463" i="16"/>
  <c r="I462" i="16"/>
  <c r="I460" i="16"/>
  <c r="K458" i="16"/>
  <c r="P456" i="16"/>
  <c r="L456" i="16"/>
  <c r="O456" i="16" s="1"/>
  <c r="P455" i="16"/>
  <c r="O455" i="16"/>
  <c r="P454" i="16"/>
  <c r="N454" i="16"/>
  <c r="M454" i="16"/>
  <c r="P449" i="16"/>
  <c r="N449" i="16"/>
  <c r="L449" i="16"/>
  <c r="L447" i="16" s="1"/>
  <c r="O447" i="16" s="1"/>
  <c r="P448" i="16"/>
  <c r="O448" i="16"/>
  <c r="P447" i="16"/>
  <c r="N447" i="16"/>
  <c r="M447" i="16"/>
  <c r="P446" i="16"/>
  <c r="N446" i="16"/>
  <c r="M446" i="16"/>
  <c r="O445" i="16"/>
  <c r="N445" i="16"/>
  <c r="N444" i="16" s="1"/>
  <c r="M445" i="16"/>
  <c r="P445" i="16" s="1"/>
  <c r="L445" i="16"/>
  <c r="M444" i="16"/>
  <c r="J443" i="16"/>
  <c r="J442" i="16"/>
  <c r="I441" i="16"/>
  <c r="K441" i="16" s="1"/>
  <c r="I440" i="16"/>
  <c r="I439" i="16"/>
  <c r="K439" i="16" s="1"/>
  <c r="I438" i="16"/>
  <c r="K438" i="16" s="1"/>
  <c r="I437" i="16"/>
  <c r="K437" i="16" s="1"/>
  <c r="I435" i="16"/>
  <c r="J434" i="16"/>
  <c r="P431" i="16"/>
  <c r="L431" i="16"/>
  <c r="O431" i="16" s="1"/>
  <c r="P430" i="16"/>
  <c r="O430" i="16"/>
  <c r="P429" i="16"/>
  <c r="N429" i="16"/>
  <c r="M429" i="16"/>
  <c r="P424" i="16"/>
  <c r="N424" i="16"/>
  <c r="L424" i="16"/>
  <c r="O424" i="16" s="1"/>
  <c r="P423" i="16"/>
  <c r="O423" i="16"/>
  <c r="P422" i="16"/>
  <c r="N422" i="16"/>
  <c r="M422" i="16"/>
  <c r="P421" i="16"/>
  <c r="N421" i="16"/>
  <c r="M421" i="16"/>
  <c r="O420" i="16"/>
  <c r="N420" i="16"/>
  <c r="N419" i="16" s="1"/>
  <c r="M420" i="16"/>
  <c r="P420" i="16" s="1"/>
  <c r="L420" i="16"/>
  <c r="M419" i="16"/>
  <c r="P419" i="16" s="1"/>
  <c r="J418" i="16"/>
  <c r="K413" i="16"/>
  <c r="K412" i="16"/>
  <c r="N410" i="16"/>
  <c r="M410" i="16"/>
  <c r="L410" i="16"/>
  <c r="P409" i="16"/>
  <c r="O409" i="16"/>
  <c r="N407" i="16"/>
  <c r="N405" i="16" s="1"/>
  <c r="M407" i="16"/>
  <c r="L407" i="16"/>
  <c r="L405" i="16" s="1"/>
  <c r="O405" i="16" s="1"/>
  <c r="P406" i="16"/>
  <c r="O406" i="16"/>
  <c r="N403" i="16"/>
  <c r="M403" i="16"/>
  <c r="L403" i="16"/>
  <c r="O403" i="16" s="1"/>
  <c r="K401" i="16"/>
  <c r="J401" i="16"/>
  <c r="I401" i="16"/>
  <c r="K400" i="16"/>
  <c r="K399" i="16"/>
  <c r="N397" i="16"/>
  <c r="N395" i="16" s="1"/>
  <c r="M397" i="16"/>
  <c r="M395" i="16" s="1"/>
  <c r="P395" i="16" s="1"/>
  <c r="L397" i="16"/>
  <c r="P396" i="16"/>
  <c r="O396" i="16"/>
  <c r="N394" i="16"/>
  <c r="M394" i="16"/>
  <c r="M392" i="16" s="1"/>
  <c r="P392" i="16" s="1"/>
  <c r="L394" i="16"/>
  <c r="O394" i="16" s="1"/>
  <c r="P393" i="16"/>
  <c r="O393" i="16"/>
  <c r="O390" i="16"/>
  <c r="N390" i="16"/>
  <c r="M390" i="16"/>
  <c r="P390" i="16" s="1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M350" i="16"/>
  <c r="L350" i="16"/>
  <c r="L348" i="16" s="1"/>
  <c r="P349" i="16"/>
  <c r="O349" i="16"/>
  <c r="O346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L333" i="16"/>
  <c r="L331" i="16" s="1"/>
  <c r="P332" i="16"/>
  <c r="O332" i="16"/>
  <c r="O329" i="16"/>
  <c r="N329" i="16"/>
  <c r="M329" i="16"/>
  <c r="P329" i="16" s="1"/>
  <c r="L329" i="16"/>
  <c r="I327" i="16"/>
  <c r="I325" i="16"/>
  <c r="I314" i="16" s="1"/>
  <c r="K314" i="16" s="1"/>
  <c r="N323" i="16"/>
  <c r="M323" i="16"/>
  <c r="P323" i="16" s="1"/>
  <c r="L323" i="16"/>
  <c r="O323" i="16" s="1"/>
  <c r="P322" i="16"/>
  <c r="O322" i="16"/>
  <c r="N320" i="16"/>
  <c r="N318" i="16" s="1"/>
  <c r="M320" i="16"/>
  <c r="M318" i="16" s="1"/>
  <c r="P318" i="16" s="1"/>
  <c r="L320" i="16"/>
  <c r="O320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I297" i="16" s="1"/>
  <c r="K297" i="16" s="1"/>
  <c r="N306" i="16"/>
  <c r="N304" i="16" s="1"/>
  <c r="M306" i="16"/>
  <c r="P306" i="16" s="1"/>
  <c r="L306" i="16"/>
  <c r="P305" i="16"/>
  <c r="O305" i="16"/>
  <c r="N303" i="16"/>
  <c r="M303" i="16"/>
  <c r="M301" i="16" s="1"/>
  <c r="L303" i="16"/>
  <c r="L301" i="16" s="1"/>
  <c r="P302" i="16"/>
  <c r="O302" i="16"/>
  <c r="N299" i="16"/>
  <c r="M299" i="16"/>
  <c r="P299" i="16" s="1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M283" i="16" s="1"/>
  <c r="P283" i="16" s="1"/>
  <c r="L285" i="16"/>
  <c r="O285" i="16" s="1"/>
  <c r="P284" i="16"/>
  <c r="O284" i="16"/>
  <c r="N282" i="16"/>
  <c r="N280" i="16" s="1"/>
  <c r="M282" i="16"/>
  <c r="M280" i="16" s="1"/>
  <c r="L282" i="16"/>
  <c r="P281" i="16"/>
  <c r="O281" i="16"/>
  <c r="O278" i="16"/>
  <c r="N278" i="16"/>
  <c r="M278" i="16"/>
  <c r="P278" i="16" s="1"/>
  <c r="L278" i="16"/>
  <c r="J276" i="16"/>
  <c r="I271" i="16"/>
  <c r="N269" i="16"/>
  <c r="N267" i="16" s="1"/>
  <c r="M269" i="16"/>
  <c r="L269" i="16"/>
  <c r="O269" i="16" s="1"/>
  <c r="P268" i="16"/>
  <c r="O268" i="16"/>
  <c r="N266" i="16"/>
  <c r="N264" i="16" s="1"/>
  <c r="M266" i="16"/>
  <c r="L266" i="16"/>
  <c r="L264" i="16" s="1"/>
  <c r="P265" i="16"/>
  <c r="O265" i="16"/>
  <c r="N262" i="16"/>
  <c r="M262" i="16"/>
  <c r="P262" i="16" s="1"/>
  <c r="L262" i="16"/>
  <c r="O262" i="16" s="1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J226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I190" i="16" s="1"/>
  <c r="K190" i="16" s="1"/>
  <c r="P191" i="16"/>
  <c r="L191" i="16"/>
  <c r="O191" i="16" s="1"/>
  <c r="J190" i="16"/>
  <c r="N189" i="16"/>
  <c r="N187" i="16" s="1"/>
  <c r="M189" i="16"/>
  <c r="P189" i="16" s="1"/>
  <c r="L189" i="16"/>
  <c r="O189" i="16" s="1"/>
  <c r="P188" i="16"/>
  <c r="O188" i="16"/>
  <c r="N186" i="16"/>
  <c r="M186" i="16"/>
  <c r="L186" i="16"/>
  <c r="P185" i="16"/>
  <c r="O185" i="16"/>
  <c r="P182" i="16"/>
  <c r="N182" i="16"/>
  <c r="M182" i="16"/>
  <c r="L182" i="16"/>
  <c r="J180" i="16"/>
  <c r="J177" i="16"/>
  <c r="I176" i="16"/>
  <c r="J174" i="16"/>
  <c r="J164" i="16" s="1"/>
  <c r="N173" i="16"/>
  <c r="M173" i="16"/>
  <c r="P173" i="16" s="1"/>
  <c r="L173" i="16"/>
  <c r="O173" i="16" s="1"/>
  <c r="P172" i="16"/>
  <c r="O172" i="16"/>
  <c r="N170" i="16"/>
  <c r="N168" i="16" s="1"/>
  <c r="M170" i="16"/>
  <c r="M168" i="16" s="1"/>
  <c r="L170" i="16"/>
  <c r="P169" i="16"/>
  <c r="O169" i="16"/>
  <c r="P166" i="16"/>
  <c r="N166" i="16"/>
  <c r="M166" i="16"/>
  <c r="L166" i="16"/>
  <c r="O166" i="16" s="1"/>
  <c r="I159" i="16"/>
  <c r="K159" i="16" s="1"/>
  <c r="N157" i="16"/>
  <c r="M157" i="16"/>
  <c r="M155" i="16" s="1"/>
  <c r="P155" i="16" s="1"/>
  <c r="L157" i="16"/>
  <c r="O157" i="16" s="1"/>
  <c r="P156" i="16"/>
  <c r="O156" i="16"/>
  <c r="N154" i="16"/>
  <c r="N152" i="16" s="1"/>
  <c r="M154" i="16"/>
  <c r="M152" i="16" s="1"/>
  <c r="P152" i="16" s="1"/>
  <c r="L154" i="16"/>
  <c r="P153" i="16"/>
  <c r="O153" i="16"/>
  <c r="N150" i="16"/>
  <c r="M150" i="16"/>
  <c r="P150" i="16" s="1"/>
  <c r="L150" i="16"/>
  <c r="O150" i="16" s="1"/>
  <c r="J148" i="16"/>
  <c r="I146" i="16"/>
  <c r="I130" i="16" s="1"/>
  <c r="K130" i="16" s="1"/>
  <c r="I145" i="16"/>
  <c r="K145" i="16" s="1"/>
  <c r="I144" i="16"/>
  <c r="K144" i="16" s="1"/>
  <c r="N140" i="16"/>
  <c r="N138" i="16" s="1"/>
  <c r="M140" i="16"/>
  <c r="P140" i="16" s="1"/>
  <c r="L140" i="16"/>
  <c r="O140" i="16" s="1"/>
  <c r="P139" i="16"/>
  <c r="O139" i="16"/>
  <c r="N137" i="16"/>
  <c r="M137" i="16"/>
  <c r="P137" i="16" s="1"/>
  <c r="L137" i="16"/>
  <c r="O137" i="16" s="1"/>
  <c r="P136" i="16"/>
  <c r="O136" i="16"/>
  <c r="P133" i="16"/>
  <c r="O133" i="16"/>
  <c r="N133" i="16"/>
  <c r="M133" i="16"/>
  <c r="L133" i="16"/>
  <c r="J130" i="16"/>
  <c r="N127" i="16"/>
  <c r="N125" i="16" s="1"/>
  <c r="M127" i="16"/>
  <c r="M125" i="16" s="1"/>
  <c r="P125" i="16" s="1"/>
  <c r="L127" i="16"/>
  <c r="O127" i="16" s="1"/>
  <c r="P126" i="16"/>
  <c r="O126" i="16"/>
  <c r="N124" i="16"/>
  <c r="M124" i="16"/>
  <c r="M122" i="16" s="1"/>
  <c r="P122" i="16" s="1"/>
  <c r="L124" i="16"/>
  <c r="O124" i="16" s="1"/>
  <c r="P123" i="16"/>
  <c r="O123" i="16"/>
  <c r="N120" i="16"/>
  <c r="M120" i="16"/>
  <c r="P120" i="16" s="1"/>
  <c r="L120" i="16"/>
  <c r="O120" i="16" s="1"/>
  <c r="K118" i="16"/>
  <c r="J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I87" i="16" s="1"/>
  <c r="K87" i="16" s="1"/>
  <c r="J98" i="16"/>
  <c r="I98" i="16"/>
  <c r="K98" i="16" s="1"/>
  <c r="N96" i="16"/>
  <c r="N94" i="16" s="1"/>
  <c r="M96" i="16"/>
  <c r="M94" i="16" s="1"/>
  <c r="P94" i="16" s="1"/>
  <c r="L96" i="16"/>
  <c r="O96" i="16" s="1"/>
  <c r="P95" i="16"/>
  <c r="O95" i="16"/>
  <c r="N93" i="16"/>
  <c r="N91" i="16" s="1"/>
  <c r="M93" i="16"/>
  <c r="M91" i="16" s="1"/>
  <c r="L93" i="16"/>
  <c r="L91" i="16" s="1"/>
  <c r="P92" i="16"/>
  <c r="O92" i="16"/>
  <c r="O89" i="16"/>
  <c r="N89" i="16"/>
  <c r="M89" i="16"/>
  <c r="P89" i="16" s="1"/>
  <c r="L89" i="16"/>
  <c r="J86" i="16"/>
  <c r="I84" i="16"/>
  <c r="K84" i="16" s="1"/>
  <c r="I83" i="16"/>
  <c r="K83" i="16" s="1"/>
  <c r="I82" i="16"/>
  <c r="K82" i="16" s="1"/>
  <c r="I81" i="16"/>
  <c r="K81" i="16" s="1"/>
  <c r="I80" i="16"/>
  <c r="I79" i="16"/>
  <c r="K79" i="16" s="1"/>
  <c r="I78" i="16"/>
  <c r="K78" i="16" s="1"/>
  <c r="J77" i="16"/>
  <c r="J76" i="16"/>
  <c r="N74" i="16"/>
  <c r="N72" i="16" s="1"/>
  <c r="M74" i="16"/>
  <c r="L74" i="16"/>
  <c r="L72" i="16" s="1"/>
  <c r="O72" i="16" s="1"/>
  <c r="P73" i="16"/>
  <c r="O73" i="16"/>
  <c r="N71" i="16"/>
  <c r="N69" i="16" s="1"/>
  <c r="M71" i="16"/>
  <c r="P71" i="16" s="1"/>
  <c r="L71" i="16"/>
  <c r="L69" i="16" s="1"/>
  <c r="O69" i="16" s="1"/>
  <c r="P70" i="16"/>
  <c r="O70" i="16"/>
  <c r="N67" i="16"/>
  <c r="M67" i="16"/>
  <c r="P67" i="16" s="1"/>
  <c r="L67" i="16"/>
  <c r="O67" i="16" s="1"/>
  <c r="J65" i="16"/>
  <c r="J64" i="16"/>
  <c r="N61" i="16"/>
  <c r="N59" i="16" s="1"/>
  <c r="M61" i="16"/>
  <c r="L61" i="16"/>
  <c r="L59" i="16" s="1"/>
  <c r="P60" i="16"/>
  <c r="O60" i="16"/>
  <c r="N58" i="16"/>
  <c r="M58" i="16"/>
  <c r="L58" i="16"/>
  <c r="L56" i="16" s="1"/>
  <c r="P57" i="16"/>
  <c r="O57" i="16"/>
  <c r="P54" i="16"/>
  <c r="O54" i="16"/>
  <c r="N54" i="16"/>
  <c r="M54" i="16"/>
  <c r="L54" i="16"/>
  <c r="N49" i="16"/>
  <c r="N47" i="16" s="1"/>
  <c r="M49" i="16"/>
  <c r="P49" i="16" s="1"/>
  <c r="L49" i="16"/>
  <c r="P48" i="16"/>
  <c r="O48" i="16"/>
  <c r="N46" i="16"/>
  <c r="N44" i="16" s="1"/>
  <c r="M46" i="16"/>
  <c r="L46" i="16"/>
  <c r="L44" i="16" s="1"/>
  <c r="P45" i="16"/>
  <c r="O45" i="16"/>
  <c r="N42" i="16"/>
  <c r="M42" i="16"/>
  <c r="P42" i="16" s="1"/>
  <c r="L42" i="16"/>
  <c r="O42" i="16" s="1"/>
  <c r="P36" i="16"/>
  <c r="N36" i="16"/>
  <c r="M36" i="16"/>
  <c r="O35" i="16"/>
  <c r="N35" i="16"/>
  <c r="N34" i="16" s="1"/>
  <c r="M35" i="16"/>
  <c r="M34" i="16" s="1"/>
  <c r="P34" i="16" s="1"/>
  <c r="L35" i="16"/>
  <c r="N33" i="16"/>
  <c r="M33" i="16"/>
  <c r="P33" i="16" s="1"/>
  <c r="P32" i="16"/>
  <c r="N32" i="16"/>
  <c r="N31" i="16" s="1"/>
  <c r="M32" i="16"/>
  <c r="M31" i="16" s="1"/>
  <c r="P31" i="16" s="1"/>
  <c r="L32" i="16"/>
  <c r="O32" i="16" s="1"/>
  <c r="N30" i="16"/>
  <c r="N29" i="16"/>
  <c r="N28" i="16" s="1"/>
  <c r="M29" i="16"/>
  <c r="P25" i="16"/>
  <c r="N25" i="16"/>
  <c r="M25" i="16"/>
  <c r="L25" i="16"/>
  <c r="O25" i="16" s="1"/>
  <c r="O22" i="16"/>
  <c r="N22" i="16"/>
  <c r="N19" i="16" s="1"/>
  <c r="M22" i="16"/>
  <c r="L22" i="16"/>
  <c r="L19" i="16"/>
  <c r="O19" i="16" s="1"/>
  <c r="N15" i="16"/>
  <c r="M15" i="16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P796" i="15"/>
  <c r="N796" i="15"/>
  <c r="M796" i="15"/>
  <c r="L796" i="15"/>
  <c r="O796" i="15" s="1"/>
  <c r="P791" i="15"/>
  <c r="N791" i="15"/>
  <c r="L791" i="15"/>
  <c r="L789" i="15" s="1"/>
  <c r="O789" i="15" s="1"/>
  <c r="P790" i="15"/>
  <c r="O790" i="15"/>
  <c r="N789" i="15"/>
  <c r="M789" i="15"/>
  <c r="P789" i="15" s="1"/>
  <c r="P788" i="15"/>
  <c r="N788" i="15"/>
  <c r="M788" i="15"/>
  <c r="O787" i="15"/>
  <c r="N787" i="15"/>
  <c r="M787" i="15"/>
  <c r="M786" i="15" s="1"/>
  <c r="P786" i="15" s="1"/>
  <c r="L787" i="15"/>
  <c r="N786" i="15"/>
  <c r="P782" i="15"/>
  <c r="O782" i="15"/>
  <c r="P781" i="15"/>
  <c r="O781" i="15"/>
  <c r="P780" i="15"/>
  <c r="N780" i="15"/>
  <c r="M780" i="15"/>
  <c r="L780" i="15"/>
  <c r="O780" i="15" s="1"/>
  <c r="P775" i="15"/>
  <c r="O775" i="15"/>
  <c r="N775" i="15"/>
  <c r="P774" i="15"/>
  <c r="O774" i="15"/>
  <c r="P773" i="15"/>
  <c r="N773" i="15"/>
  <c r="M773" i="15"/>
  <c r="L773" i="15"/>
  <c r="O773" i="15" s="1"/>
  <c r="O772" i="15"/>
  <c r="N772" i="15"/>
  <c r="M772" i="15"/>
  <c r="P772" i="15" s="1"/>
  <c r="L772" i="15"/>
  <c r="P771" i="15"/>
  <c r="N771" i="15"/>
  <c r="N770" i="15" s="1"/>
  <c r="M771" i="15"/>
  <c r="L771" i="15"/>
  <c r="O771" i="15" s="1"/>
  <c r="O770" i="15"/>
  <c r="M770" i="15"/>
  <c r="P770" i="15" s="1"/>
  <c r="L770" i="15"/>
  <c r="K769" i="15"/>
  <c r="J769" i="15"/>
  <c r="P766" i="15"/>
  <c r="O766" i="15"/>
  <c r="P765" i="15"/>
  <c r="O765" i="15"/>
  <c r="P764" i="15"/>
  <c r="N764" i="15"/>
  <c r="M764" i="15"/>
  <c r="L764" i="15"/>
  <c r="O764" i="15" s="1"/>
  <c r="P759" i="15"/>
  <c r="O759" i="15"/>
  <c r="N759" i="15"/>
  <c r="P758" i="15"/>
  <c r="O758" i="15"/>
  <c r="P757" i="15"/>
  <c r="N757" i="15"/>
  <c r="M757" i="15"/>
  <c r="L757" i="15"/>
  <c r="O757" i="15" s="1"/>
  <c r="O756" i="15"/>
  <c r="N756" i="15"/>
  <c r="M756" i="15"/>
  <c r="P756" i="15" s="1"/>
  <c r="L756" i="15"/>
  <c r="P755" i="15"/>
  <c r="N755" i="15"/>
  <c r="N754" i="15" s="1"/>
  <c r="M755" i="15"/>
  <c r="L755" i="15"/>
  <c r="O755" i="15" s="1"/>
  <c r="M754" i="15"/>
  <c r="P754" i="15" s="1"/>
  <c r="K753" i="15"/>
  <c r="J753" i="15"/>
  <c r="P749" i="15"/>
  <c r="O749" i="15"/>
  <c r="P748" i="15"/>
  <c r="O748" i="15"/>
  <c r="P747" i="15"/>
  <c r="N747" i="15"/>
  <c r="M747" i="15"/>
  <c r="L747" i="15"/>
  <c r="O747" i="15" s="1"/>
  <c r="P742" i="15"/>
  <c r="O742" i="15"/>
  <c r="N742" i="15"/>
  <c r="P741" i="15"/>
  <c r="O741" i="15"/>
  <c r="P740" i="15"/>
  <c r="N740" i="15"/>
  <c r="M740" i="15"/>
  <c r="L740" i="15"/>
  <c r="O740" i="15" s="1"/>
  <c r="O739" i="15"/>
  <c r="N739" i="15"/>
  <c r="M739" i="15"/>
  <c r="P739" i="15" s="1"/>
  <c r="L739" i="15"/>
  <c r="P738" i="15"/>
  <c r="N738" i="15"/>
  <c r="N737" i="15" s="1"/>
  <c r="M738" i="15"/>
  <c r="L738" i="15"/>
  <c r="O738" i="15" s="1"/>
  <c r="M737" i="15"/>
  <c r="P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P695" i="15"/>
  <c r="N695" i="15"/>
  <c r="M695" i="15"/>
  <c r="L695" i="15"/>
  <c r="O695" i="15" s="1"/>
  <c r="P690" i="15"/>
  <c r="N690" i="15"/>
  <c r="L690" i="15"/>
  <c r="N688" i="15"/>
  <c r="M688" i="15"/>
  <c r="P688" i="15" s="1"/>
  <c r="P687" i="15"/>
  <c r="N687" i="15"/>
  <c r="M687" i="15"/>
  <c r="O686" i="15"/>
  <c r="N686" i="15"/>
  <c r="M686" i="15"/>
  <c r="M685" i="15" s="1"/>
  <c r="P685" i="15" s="1"/>
  <c r="L686" i="15"/>
  <c r="N685" i="15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P667" i="15"/>
  <c r="O667" i="15"/>
  <c r="P666" i="15"/>
  <c r="O666" i="15"/>
  <c r="O665" i="15"/>
  <c r="N665" i="15"/>
  <c r="M665" i="15"/>
  <c r="P665" i="15" s="1"/>
  <c r="L665" i="15"/>
  <c r="P660" i="15"/>
  <c r="N660" i="15"/>
  <c r="L660" i="15"/>
  <c r="O660" i="15" s="1"/>
  <c r="P659" i="15"/>
  <c r="O659" i="15"/>
  <c r="P658" i="15"/>
  <c r="M658" i="15"/>
  <c r="M657" i="15"/>
  <c r="P656" i="15"/>
  <c r="N656" i="15"/>
  <c r="M656" i="15"/>
  <c r="L656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N639" i="15"/>
  <c r="M639" i="15"/>
  <c r="P639" i="15" s="1"/>
  <c r="P634" i="15"/>
  <c r="N634" i="15"/>
  <c r="N631" i="15" s="1"/>
  <c r="L634" i="15"/>
  <c r="O634" i="15" s="1"/>
  <c r="P633" i="15"/>
  <c r="O633" i="15"/>
  <c r="P632" i="15"/>
  <c r="N632" i="15"/>
  <c r="M632" i="15"/>
  <c r="M631" i="15"/>
  <c r="P631" i="15" s="1"/>
  <c r="P630" i="15"/>
  <c r="N630" i="15"/>
  <c r="M630" i="15"/>
  <c r="L630" i="15"/>
  <c r="M629" i="15"/>
  <c r="P629" i="15" s="1"/>
  <c r="J621" i="15"/>
  <c r="I621" i="15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4" i="15"/>
  <c r="I594" i="15"/>
  <c r="K594" i="15" s="1"/>
  <c r="I593" i="15"/>
  <c r="I592" i="15" s="1"/>
  <c r="J583" i="15"/>
  <c r="J577" i="15" s="1"/>
  <c r="J582" i="15"/>
  <c r="I577" i="15"/>
  <c r="J576" i="15"/>
  <c r="J559" i="15" s="1"/>
  <c r="I576" i="15"/>
  <c r="K576" i="15" s="1"/>
  <c r="J569" i="15"/>
  <c r="I569" i="15"/>
  <c r="K569" i="15" s="1"/>
  <c r="J568" i="15"/>
  <c r="I568" i="15"/>
  <c r="J561" i="15"/>
  <c r="I561" i="15"/>
  <c r="K561" i="15" s="1"/>
  <c r="J560" i="15"/>
  <c r="I560" i="15"/>
  <c r="K560" i="15" s="1"/>
  <c r="P557" i="15"/>
  <c r="L557" i="15"/>
  <c r="O557" i="15" s="1"/>
  <c r="P556" i="15"/>
  <c r="O556" i="15"/>
  <c r="P555" i="15"/>
  <c r="N555" i="15"/>
  <c r="N545" i="15" s="1"/>
  <c r="N544" i="15" s="1"/>
  <c r="M555" i="15"/>
  <c r="P549" i="15"/>
  <c r="N549" i="15"/>
  <c r="L549" i="15"/>
  <c r="P548" i="15"/>
  <c r="O548" i="15"/>
  <c r="N547" i="15"/>
  <c r="M547" i="15"/>
  <c r="P547" i="15" s="1"/>
  <c r="P546" i="15"/>
  <c r="N546" i="15"/>
  <c r="M546" i="15"/>
  <c r="O545" i="15"/>
  <c r="M545" i="15"/>
  <c r="P545" i="15" s="1"/>
  <c r="L545" i="15"/>
  <c r="P544" i="15"/>
  <c r="M544" i="15"/>
  <c r="J543" i="15"/>
  <c r="I542" i="15"/>
  <c r="K542" i="15" s="1"/>
  <c r="I541" i="15"/>
  <c r="K541" i="15" s="1"/>
  <c r="I540" i="15"/>
  <c r="K540" i="15" s="1"/>
  <c r="I539" i="15"/>
  <c r="I538" i="15"/>
  <c r="K538" i="15" s="1"/>
  <c r="I537" i="15"/>
  <c r="I522" i="15" s="1"/>
  <c r="K522" i="15" s="1"/>
  <c r="P535" i="15"/>
  <c r="L535" i="15"/>
  <c r="O535" i="15" s="1"/>
  <c r="P534" i="15"/>
  <c r="O534" i="15"/>
  <c r="P533" i="15"/>
  <c r="N533" i="15"/>
  <c r="M533" i="15"/>
  <c r="P528" i="15"/>
  <c r="N528" i="15"/>
  <c r="L528" i="15"/>
  <c r="L526" i="15" s="1"/>
  <c r="O526" i="15" s="1"/>
  <c r="P527" i="15"/>
  <c r="O527" i="15"/>
  <c r="N526" i="15"/>
  <c r="M526" i="15"/>
  <c r="P526" i="15" s="1"/>
  <c r="P525" i="15"/>
  <c r="N525" i="15"/>
  <c r="M525" i="15"/>
  <c r="O524" i="15"/>
  <c r="N524" i="15"/>
  <c r="M524" i="15"/>
  <c r="L524" i="15"/>
  <c r="N523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N505" i="15" s="1"/>
  <c r="P506" i="15"/>
  <c r="O506" i="15"/>
  <c r="M505" i="15"/>
  <c r="P505" i="15" s="1"/>
  <c r="L505" i="15"/>
  <c r="O505" i="15" s="1"/>
  <c r="P504" i="15"/>
  <c r="N504" i="15"/>
  <c r="N502" i="15" s="1"/>
  <c r="M504" i="15"/>
  <c r="L504" i="15"/>
  <c r="O504" i="15" s="1"/>
  <c r="P503" i="15"/>
  <c r="O503" i="15"/>
  <c r="N503" i="15"/>
  <c r="M503" i="15"/>
  <c r="M502" i="15" s="1"/>
  <c r="P502" i="15" s="1"/>
  <c r="L503" i="15"/>
  <c r="O502" i="15"/>
  <c r="L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N477" i="15"/>
  <c r="M477" i="15"/>
  <c r="P477" i="15" s="1"/>
  <c r="P472" i="15"/>
  <c r="N472" i="15"/>
  <c r="L472" i="15"/>
  <c r="O472" i="15" s="1"/>
  <c r="P471" i="15"/>
  <c r="O471" i="15"/>
  <c r="N470" i="15"/>
  <c r="M470" i="15"/>
  <c r="P470" i="15" s="1"/>
  <c r="P469" i="15"/>
  <c r="N469" i="15"/>
  <c r="M469" i="15"/>
  <c r="P468" i="15"/>
  <c r="O468" i="15"/>
  <c r="N468" i="15"/>
  <c r="M468" i="15"/>
  <c r="M467" i="15" s="1"/>
  <c r="L468" i="15"/>
  <c r="P467" i="15"/>
  <c r="N467" i="15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60" i="15" s="1"/>
  <c r="K458" i="15"/>
  <c r="P456" i="15"/>
  <c r="L456" i="15"/>
  <c r="P455" i="15"/>
  <c r="O455" i="15"/>
  <c r="N454" i="15"/>
  <c r="M454" i="15"/>
  <c r="P454" i="15" s="1"/>
  <c r="P449" i="15"/>
  <c r="N449" i="15"/>
  <c r="N446" i="15" s="1"/>
  <c r="L449" i="15"/>
  <c r="P448" i="15"/>
  <c r="O448" i="15"/>
  <c r="N447" i="15"/>
  <c r="M447" i="15"/>
  <c r="P447" i="15" s="1"/>
  <c r="M446" i="15"/>
  <c r="P446" i="15" s="1"/>
  <c r="N445" i="15"/>
  <c r="M445" i="15"/>
  <c r="M444" i="15" s="1"/>
  <c r="P444" i="15" s="1"/>
  <c r="L445" i="15"/>
  <c r="O445" i="15" s="1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J434" i="15"/>
  <c r="J418" i="15" s="1"/>
  <c r="P431" i="15"/>
  <c r="L431" i="15"/>
  <c r="P430" i="15"/>
  <c r="O430" i="15"/>
  <c r="N429" i="15"/>
  <c r="M429" i="15"/>
  <c r="P429" i="15" s="1"/>
  <c r="P424" i="15"/>
  <c r="N424" i="15"/>
  <c r="N421" i="15" s="1"/>
  <c r="L424" i="15"/>
  <c r="P423" i="15"/>
  <c r="O423" i="15"/>
  <c r="N422" i="15"/>
  <c r="M422" i="15"/>
  <c r="P422" i="15" s="1"/>
  <c r="M421" i="15"/>
  <c r="P421" i="15" s="1"/>
  <c r="P420" i="15"/>
  <c r="N420" i="15"/>
  <c r="M420" i="15"/>
  <c r="L420" i="15"/>
  <c r="O420" i="15" s="1"/>
  <c r="M419" i="15"/>
  <c r="K413" i="15"/>
  <c r="K412" i="15"/>
  <c r="N410" i="15"/>
  <c r="N408" i="15" s="1"/>
  <c r="M410" i="15"/>
  <c r="P410" i="15" s="1"/>
  <c r="L410" i="15"/>
  <c r="O410" i="15" s="1"/>
  <c r="P409" i="15"/>
  <c r="O409" i="15"/>
  <c r="N407" i="15"/>
  <c r="N405" i="15" s="1"/>
  <c r="M407" i="15"/>
  <c r="L407" i="15"/>
  <c r="P406" i="15"/>
  <c r="O406" i="15"/>
  <c r="P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L397" i="15"/>
  <c r="L395" i="15" s="1"/>
  <c r="O395" i="15" s="1"/>
  <c r="P396" i="15"/>
  <c r="O396" i="15"/>
  <c r="N394" i="15"/>
  <c r="M394" i="15"/>
  <c r="P394" i="15" s="1"/>
  <c r="L394" i="15"/>
  <c r="P393" i="15"/>
  <c r="O393" i="15"/>
  <c r="P390" i="15"/>
  <c r="N390" i="15"/>
  <c r="M390" i="15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L351" i="15" s="1"/>
  <c r="P352" i="15"/>
  <c r="O352" i="15"/>
  <c r="N350" i="15"/>
  <c r="M350" i="15"/>
  <c r="L350" i="15"/>
  <c r="P349" i="15"/>
  <c r="O349" i="15"/>
  <c r="N346" i="15"/>
  <c r="M346" i="15"/>
  <c r="P346" i="15" s="1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L336" i="15"/>
  <c r="O336" i="15" s="1"/>
  <c r="P335" i="15"/>
  <c r="O335" i="15"/>
  <c r="N333" i="15"/>
  <c r="M333" i="15"/>
  <c r="L333" i="15"/>
  <c r="P332" i="15"/>
  <c r="O332" i="15"/>
  <c r="P329" i="15"/>
  <c r="N329" i="15"/>
  <c r="M329" i="15"/>
  <c r="L329" i="15"/>
  <c r="I327" i="15"/>
  <c r="I325" i="15"/>
  <c r="K325" i="15" s="1"/>
  <c r="N323" i="15"/>
  <c r="N321" i="15" s="1"/>
  <c r="M323" i="15"/>
  <c r="L323" i="15"/>
  <c r="L321" i="15" s="1"/>
  <c r="O321" i="15" s="1"/>
  <c r="P322" i="15"/>
  <c r="O322" i="15"/>
  <c r="N320" i="15"/>
  <c r="N318" i="15" s="1"/>
  <c r="M320" i="15"/>
  <c r="L320" i="15"/>
  <c r="L318" i="15" s="1"/>
  <c r="O318" i="15" s="1"/>
  <c r="P319" i="15"/>
  <c r="O319" i="15"/>
  <c r="P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L306" i="15"/>
  <c r="O306" i="15" s="1"/>
  <c r="P305" i="15"/>
  <c r="O305" i="15"/>
  <c r="N303" i="15"/>
  <c r="M303" i="15"/>
  <c r="L303" i="15"/>
  <c r="L301" i="15" s="1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J288" i="15" s="1"/>
  <c r="J275" i="15" s="1"/>
  <c r="I287" i="15"/>
  <c r="K287" i="15" s="1"/>
  <c r="N285" i="15"/>
  <c r="N283" i="15" s="1"/>
  <c r="M285" i="15"/>
  <c r="P285" i="15" s="1"/>
  <c r="L285" i="15"/>
  <c r="O285" i="15" s="1"/>
  <c r="P284" i="15"/>
  <c r="O284" i="15"/>
  <c r="N282" i="15"/>
  <c r="N280" i="15" s="1"/>
  <c r="M282" i="15"/>
  <c r="M280" i="15" s="1"/>
  <c r="L282" i="15"/>
  <c r="L280" i="15" s="1"/>
  <c r="P281" i="15"/>
  <c r="O281" i="15"/>
  <c r="O278" i="15"/>
  <c r="N278" i="15"/>
  <c r="M278" i="15"/>
  <c r="L278" i="15"/>
  <c r="J276" i="15"/>
  <c r="I271" i="15"/>
  <c r="K271" i="15" s="1"/>
  <c r="N269" i="15"/>
  <c r="M269" i="15"/>
  <c r="L269" i="15"/>
  <c r="L267" i="15" s="1"/>
  <c r="O267" i="15" s="1"/>
  <c r="P268" i="15"/>
  <c r="O268" i="15"/>
  <c r="N266" i="15"/>
  <c r="N264" i="15" s="1"/>
  <c r="M266" i="15"/>
  <c r="L266" i="15"/>
  <c r="L264" i="15" s="1"/>
  <c r="P265" i="15"/>
  <c r="O265" i="15"/>
  <c r="P262" i="15"/>
  <c r="N262" i="15"/>
  <c r="M262" i="15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36" i="15"/>
  <c r="K236" i="15" s="1"/>
  <c r="I236" i="15"/>
  <c r="K235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L189" i="15"/>
  <c r="L187" i="15" s="1"/>
  <c r="O187" i="15" s="1"/>
  <c r="P188" i="15"/>
  <c r="O188" i="15"/>
  <c r="N186" i="15"/>
  <c r="N184" i="15" s="1"/>
  <c r="M186" i="15"/>
  <c r="L186" i="15"/>
  <c r="L184" i="15" s="1"/>
  <c r="P185" i="15"/>
  <c r="O185" i="15"/>
  <c r="P182" i="15"/>
  <c r="N182" i="15"/>
  <c r="M182" i="15"/>
  <c r="L182" i="15"/>
  <c r="O182" i="15" s="1"/>
  <c r="J177" i="15"/>
  <c r="J164" i="15" s="1"/>
  <c r="I176" i="15"/>
  <c r="K176" i="15" s="1"/>
  <c r="J174" i="15"/>
  <c r="N173" i="15"/>
  <c r="N171" i="15" s="1"/>
  <c r="M173" i="15"/>
  <c r="L173" i="15"/>
  <c r="O173" i="15" s="1"/>
  <c r="P172" i="15"/>
  <c r="O172" i="15"/>
  <c r="N170" i="15"/>
  <c r="N168" i="15" s="1"/>
  <c r="M170" i="15"/>
  <c r="L170" i="15"/>
  <c r="P169" i="15"/>
  <c r="O169" i="15"/>
  <c r="N166" i="15"/>
  <c r="M166" i="15"/>
  <c r="L166" i="15"/>
  <c r="O166" i="15" s="1"/>
  <c r="I159" i="15"/>
  <c r="K159" i="15" s="1"/>
  <c r="N157" i="15"/>
  <c r="N155" i="15" s="1"/>
  <c r="M157" i="15"/>
  <c r="M155" i="15" s="1"/>
  <c r="P155" i="15" s="1"/>
  <c r="L157" i="15"/>
  <c r="L155" i="15" s="1"/>
  <c r="O155" i="15" s="1"/>
  <c r="P156" i="15"/>
  <c r="O156" i="15"/>
  <c r="N154" i="15"/>
  <c r="M154" i="15"/>
  <c r="M152" i="15" s="1"/>
  <c r="L154" i="15"/>
  <c r="L152" i="15" s="1"/>
  <c r="P153" i="15"/>
  <c r="O153" i="15"/>
  <c r="P150" i="15"/>
  <c r="O150" i="15"/>
  <c r="N150" i="15"/>
  <c r="M150" i="15"/>
  <c r="L150" i="15"/>
  <c r="J148" i="15"/>
  <c r="I146" i="15"/>
  <c r="K146" i="15" s="1"/>
  <c r="I145" i="15"/>
  <c r="I144" i="15"/>
  <c r="K144" i="15" s="1"/>
  <c r="N140" i="15"/>
  <c r="N138" i="15" s="1"/>
  <c r="M140" i="15"/>
  <c r="L140" i="15"/>
  <c r="P139" i="15"/>
  <c r="O139" i="15"/>
  <c r="N137" i="15"/>
  <c r="N135" i="15" s="1"/>
  <c r="M137" i="15"/>
  <c r="M135" i="15" s="1"/>
  <c r="L137" i="15"/>
  <c r="P136" i="15"/>
  <c r="O136" i="15"/>
  <c r="O133" i="15"/>
  <c r="N133" i="15"/>
  <c r="M133" i="15"/>
  <c r="L133" i="15"/>
  <c r="J130" i="15"/>
  <c r="N127" i="15"/>
  <c r="N125" i="15" s="1"/>
  <c r="M127" i="15"/>
  <c r="M125" i="15" s="1"/>
  <c r="P125" i="15" s="1"/>
  <c r="L127" i="15"/>
  <c r="L125" i="15" s="1"/>
  <c r="O125" i="15" s="1"/>
  <c r="P126" i="15"/>
  <c r="O126" i="15"/>
  <c r="N124" i="15"/>
  <c r="N122" i="15" s="1"/>
  <c r="M124" i="15"/>
  <c r="M122" i="15" s="1"/>
  <c r="P122" i="15" s="1"/>
  <c r="L124" i="15"/>
  <c r="O124" i="15" s="1"/>
  <c r="P123" i="15"/>
  <c r="O123" i="15"/>
  <c r="P120" i="15"/>
  <c r="O120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I87" i="15" s="1"/>
  <c r="K87" i="15" s="1"/>
  <c r="J98" i="15"/>
  <c r="I98" i="15"/>
  <c r="K98" i="15" s="1"/>
  <c r="N96" i="15"/>
  <c r="N94" i="15" s="1"/>
  <c r="M96" i="15"/>
  <c r="L96" i="15"/>
  <c r="O96" i="15" s="1"/>
  <c r="P95" i="15"/>
  <c r="O95" i="15"/>
  <c r="N93" i="15"/>
  <c r="N91" i="15" s="1"/>
  <c r="M93" i="15"/>
  <c r="L93" i="15"/>
  <c r="P92" i="15"/>
  <c r="O92" i="15"/>
  <c r="P89" i="15"/>
  <c r="N89" i="15"/>
  <c r="M89" i="15"/>
  <c r="L89" i="15"/>
  <c r="O89" i="15" s="1"/>
  <c r="J86" i="15"/>
  <c r="I84" i="15"/>
  <c r="K84" i="15" s="1"/>
  <c r="I83" i="15"/>
  <c r="K83" i="15" s="1"/>
  <c r="I82" i="15"/>
  <c r="K82" i="15" s="1"/>
  <c r="I81" i="15"/>
  <c r="K81" i="15" s="1"/>
  <c r="I80" i="15"/>
  <c r="I79" i="15"/>
  <c r="K79" i="15" s="1"/>
  <c r="I78" i="15"/>
  <c r="K78" i="15" s="1"/>
  <c r="J77" i="15"/>
  <c r="J76" i="15"/>
  <c r="J64" i="15" s="1"/>
  <c r="N74" i="15"/>
  <c r="N72" i="15" s="1"/>
  <c r="M74" i="15"/>
  <c r="P74" i="15" s="1"/>
  <c r="L74" i="15"/>
  <c r="L72" i="15" s="1"/>
  <c r="O72" i="15" s="1"/>
  <c r="P73" i="15"/>
  <c r="O73" i="15"/>
  <c r="N71" i="15"/>
  <c r="N69" i="15" s="1"/>
  <c r="M71" i="15"/>
  <c r="L71" i="15"/>
  <c r="L69" i="15" s="1"/>
  <c r="P70" i="15"/>
  <c r="O70" i="15"/>
  <c r="O67" i="15"/>
  <c r="N67" i="15"/>
  <c r="M67" i="15"/>
  <c r="L67" i="15"/>
  <c r="J65" i="15"/>
  <c r="N61" i="15"/>
  <c r="N59" i="15" s="1"/>
  <c r="M61" i="15"/>
  <c r="P61" i="15" s="1"/>
  <c r="L61" i="15"/>
  <c r="P60" i="15"/>
  <c r="O60" i="15"/>
  <c r="N58" i="15"/>
  <c r="M58" i="15"/>
  <c r="M56" i="15" s="1"/>
  <c r="L58" i="15"/>
  <c r="P57" i="15"/>
  <c r="O57" i="15"/>
  <c r="P54" i="15"/>
  <c r="N54" i="15"/>
  <c r="M54" i="15"/>
  <c r="L54" i="15"/>
  <c r="N49" i="15"/>
  <c r="N47" i="15" s="1"/>
  <c r="M49" i="15"/>
  <c r="P49" i="15" s="1"/>
  <c r="L49" i="15"/>
  <c r="L47" i="15" s="1"/>
  <c r="O47" i="15" s="1"/>
  <c r="P48" i="15"/>
  <c r="O48" i="15"/>
  <c r="N46" i="15"/>
  <c r="M46" i="15"/>
  <c r="M44" i="15" s="1"/>
  <c r="L46" i="15"/>
  <c r="L44" i="15" s="1"/>
  <c r="P45" i="15"/>
  <c r="O45" i="15"/>
  <c r="O42" i="15"/>
  <c r="N42" i="15"/>
  <c r="M42" i="15"/>
  <c r="P42" i="15" s="1"/>
  <c r="L42" i="15"/>
  <c r="P36" i="15"/>
  <c r="N36" i="15"/>
  <c r="M36" i="15"/>
  <c r="O35" i="15"/>
  <c r="N35" i="15"/>
  <c r="N34" i="15" s="1"/>
  <c r="M35" i="15"/>
  <c r="P35" i="15" s="1"/>
  <c r="L35" i="15"/>
  <c r="N33" i="15"/>
  <c r="N30" i="15" s="1"/>
  <c r="M33" i="15"/>
  <c r="P32" i="15"/>
  <c r="N32" i="15"/>
  <c r="N29" i="15" s="1"/>
  <c r="N28" i="15" s="1"/>
  <c r="M32" i="15"/>
  <c r="L32" i="15"/>
  <c r="M31" i="15"/>
  <c r="P31" i="15" s="1"/>
  <c r="M29" i="15"/>
  <c r="N25" i="15"/>
  <c r="M25" i="15"/>
  <c r="L25" i="15"/>
  <c r="P22" i="15"/>
  <c r="O22" i="15"/>
  <c r="N22" i="15"/>
  <c r="M22" i="15"/>
  <c r="M19" i="15" s="1"/>
  <c r="P19" i="15" s="1"/>
  <c r="L22" i="15"/>
  <c r="L19" i="15"/>
  <c r="O19" i="15" s="1"/>
  <c r="M12" i="15"/>
  <c r="P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P809" i="14"/>
  <c r="O809" i="14"/>
  <c r="P808" i="14"/>
  <c r="O808" i="14"/>
  <c r="N808" i="14"/>
  <c r="M808" i="14"/>
  <c r="L808" i="14"/>
  <c r="O807" i="14"/>
  <c r="N807" i="14"/>
  <c r="M807" i="14"/>
  <c r="L807" i="14"/>
  <c r="N806" i="14"/>
  <c r="N805" i="14" s="1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N788" i="14" s="1"/>
  <c r="L791" i="14"/>
  <c r="L789" i="14" s="1"/>
  <c r="O789" i="14" s="1"/>
  <c r="P790" i="14"/>
  <c r="O790" i="14"/>
  <c r="P789" i="14"/>
  <c r="M789" i="14"/>
  <c r="M788" i="14"/>
  <c r="N787" i="14"/>
  <c r="N786" i="14" s="1"/>
  <c r="M787" i="14"/>
  <c r="P787" i="14" s="1"/>
  <c r="L787" i="14"/>
  <c r="P782" i="14"/>
  <c r="O782" i="14"/>
  <c r="P781" i="14"/>
  <c r="O781" i="14"/>
  <c r="N780" i="14"/>
  <c r="M780" i="14"/>
  <c r="P780" i="14" s="1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P772" i="14"/>
  <c r="O772" i="14"/>
  <c r="N772" i="14"/>
  <c r="N770" i="14" s="1"/>
  <c r="M772" i="14"/>
  <c r="L772" i="14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N764" i="14"/>
  <c r="M764" i="14"/>
  <c r="P764" i="14" s="1"/>
  <c r="L764" i="14"/>
  <c r="O764" i="14" s="1"/>
  <c r="P759" i="14"/>
  <c r="O759" i="14"/>
  <c r="N759" i="14"/>
  <c r="P758" i="14"/>
  <c r="O758" i="14"/>
  <c r="P757" i="14"/>
  <c r="O757" i="14"/>
  <c r="N757" i="14"/>
  <c r="M757" i="14"/>
  <c r="L757" i="14"/>
  <c r="P756" i="14"/>
  <c r="O756" i="14"/>
  <c r="N756" i="14"/>
  <c r="N754" i="14" s="1"/>
  <c r="M756" i="14"/>
  <c r="L756" i="14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N747" i="14"/>
  <c r="M747" i="14"/>
  <c r="P747" i="14" s="1"/>
  <c r="L747" i="14"/>
  <c r="O747" i="14" s="1"/>
  <c r="P742" i="14"/>
  <c r="O742" i="14"/>
  <c r="N742" i="14"/>
  <c r="P741" i="14"/>
  <c r="O741" i="14"/>
  <c r="P740" i="14"/>
  <c r="O740" i="14"/>
  <c r="N740" i="14"/>
  <c r="M740" i="14"/>
  <c r="L740" i="14"/>
  <c r="P739" i="14"/>
  <c r="O739" i="14"/>
  <c r="N739" i="14"/>
  <c r="N737" i="14" s="1"/>
  <c r="M739" i="14"/>
  <c r="L739" i="14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P690" i="14"/>
  <c r="N690" i="14"/>
  <c r="L690" i="14"/>
  <c r="L687" i="14" s="1"/>
  <c r="O687" i="14" s="1"/>
  <c r="P688" i="14"/>
  <c r="N688" i="14"/>
  <c r="M688" i="14"/>
  <c r="N687" i="14"/>
  <c r="M687" i="14"/>
  <c r="N686" i="14"/>
  <c r="N685" i="14" s="1"/>
  <c r="M686" i="14"/>
  <c r="P686" i="14" s="1"/>
  <c r="L686" i="14"/>
  <c r="J679" i="14"/>
  <c r="J678" i="14" s="1"/>
  <c r="I678" i="14"/>
  <c r="K678" i="14" s="1"/>
  <c r="J675" i="14"/>
  <c r="J669" i="14" s="1"/>
  <c r="I671" i="14"/>
  <c r="K671" i="14" s="1"/>
  <c r="I670" i="14"/>
  <c r="K670" i="14" s="1"/>
  <c r="I669" i="14"/>
  <c r="K672" i="14" s="1"/>
  <c r="P667" i="14"/>
  <c r="O667" i="14"/>
  <c r="P666" i="14"/>
  <c r="O666" i="14"/>
  <c r="N665" i="14"/>
  <c r="M665" i="14"/>
  <c r="P665" i="14" s="1"/>
  <c r="L665" i="14"/>
  <c r="O665" i="14" s="1"/>
  <c r="P660" i="14"/>
  <c r="N660" i="14"/>
  <c r="L660" i="14"/>
  <c r="O660" i="14" s="1"/>
  <c r="P659" i="14"/>
  <c r="O659" i="14"/>
  <c r="N658" i="14"/>
  <c r="M658" i="14"/>
  <c r="P658" i="14" s="1"/>
  <c r="P657" i="14"/>
  <c r="N657" i="14"/>
  <c r="M657" i="14"/>
  <c r="P656" i="14"/>
  <c r="O656" i="14"/>
  <c r="N656" i="14"/>
  <c r="M656" i="14"/>
  <c r="L656" i="14"/>
  <c r="P655" i="14"/>
  <c r="N655" i="14"/>
  <c r="M655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N638" i="14"/>
  <c r="N637" i="14"/>
  <c r="N634" i="14" s="1"/>
  <c r="N632" i="14" s="1"/>
  <c r="P634" i="14"/>
  <c r="L634" i="14"/>
  <c r="L632" i="14" s="1"/>
  <c r="O632" i="14" s="1"/>
  <c r="P633" i="14"/>
  <c r="O633" i="14"/>
  <c r="P632" i="14"/>
  <c r="M632" i="14"/>
  <c r="P631" i="14"/>
  <c r="M631" i="14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I593" i="14"/>
  <c r="I592" i="14" s="1"/>
  <c r="J583" i="14"/>
  <c r="J577" i="14" s="1"/>
  <c r="J582" i="14"/>
  <c r="J576" i="14" s="1"/>
  <c r="J559" i="14" s="1"/>
  <c r="J543" i="14" s="1"/>
  <c r="I577" i="14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53" i="14"/>
  <c r="N552" i="14"/>
  <c r="P549" i="14"/>
  <c r="N549" i="14"/>
  <c r="L549" i="14"/>
  <c r="L547" i="14" s="1"/>
  <c r="P548" i="14"/>
  <c r="O548" i="14"/>
  <c r="P547" i="14"/>
  <c r="M547" i="14"/>
  <c r="M546" i="14"/>
  <c r="P546" i="14" s="1"/>
  <c r="N545" i="14"/>
  <c r="L545" i="14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P534" i="14"/>
  <c r="O534" i="14"/>
  <c r="N533" i="14"/>
  <c r="M533" i="14"/>
  <c r="P533" i="14" s="1"/>
  <c r="P528" i="14"/>
  <c r="N528" i="14"/>
  <c r="N525" i="14" s="1"/>
  <c r="N523" i="14" s="1"/>
  <c r="L528" i="14"/>
  <c r="O528" i="14" s="1"/>
  <c r="P527" i="14"/>
  <c r="O527" i="14"/>
  <c r="N526" i="14"/>
  <c r="M526" i="14"/>
  <c r="P526" i="14" s="1"/>
  <c r="M525" i="14"/>
  <c r="P525" i="14" s="1"/>
  <c r="P524" i="14"/>
  <c r="N524" i="14"/>
  <c r="M524" i="14"/>
  <c r="L524" i="14"/>
  <c r="O524" i="14" s="1"/>
  <c r="K517" i="14"/>
  <c r="J517" i="14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P506" i="14"/>
  <c r="O506" i="14"/>
  <c r="P505" i="14"/>
  <c r="N505" i="14"/>
  <c r="M505" i="14"/>
  <c r="L505" i="14"/>
  <c r="O505" i="14" s="1"/>
  <c r="P504" i="14"/>
  <c r="O504" i="14"/>
  <c r="N504" i="14"/>
  <c r="M504" i="14"/>
  <c r="L504" i="14"/>
  <c r="P503" i="14"/>
  <c r="O503" i="14"/>
  <c r="N503" i="14"/>
  <c r="N502" i="14" s="1"/>
  <c r="M503" i="14"/>
  <c r="L503" i="14"/>
  <c r="O502" i="14"/>
  <c r="M502" i="14"/>
  <c r="L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O479" i="14" s="1"/>
  <c r="P478" i="14"/>
  <c r="O478" i="14"/>
  <c r="N477" i="14"/>
  <c r="M477" i="14"/>
  <c r="P477" i="14" s="1"/>
  <c r="P472" i="14"/>
  <c r="N472" i="14"/>
  <c r="L472" i="14"/>
  <c r="L470" i="14" s="1"/>
  <c r="O470" i="14" s="1"/>
  <c r="P471" i="14"/>
  <c r="O471" i="14"/>
  <c r="P470" i="14"/>
  <c r="N470" i="14"/>
  <c r="M470" i="14"/>
  <c r="M469" i="14"/>
  <c r="P469" i="14" s="1"/>
  <c r="P468" i="14"/>
  <c r="N468" i="14"/>
  <c r="M468" i="14"/>
  <c r="L468" i="14"/>
  <c r="M467" i="14"/>
  <c r="P467" i="14" s="1"/>
  <c r="J466" i="14"/>
  <c r="I466" i="14"/>
  <c r="K466" i="14" s="1"/>
  <c r="J465" i="14"/>
  <c r="I465" i="14"/>
  <c r="I464" i="14"/>
  <c r="I463" i="14"/>
  <c r="I462" i="14"/>
  <c r="K462" i="14" s="1"/>
  <c r="I460" i="14"/>
  <c r="K460" i="14" s="1"/>
  <c r="K458" i="14"/>
  <c r="P456" i="14"/>
  <c r="L456" i="14"/>
  <c r="O456" i="14" s="1"/>
  <c r="P455" i="14"/>
  <c r="O455" i="14"/>
  <c r="N454" i="14"/>
  <c r="M454" i="14"/>
  <c r="P454" i="14" s="1"/>
  <c r="P449" i="14"/>
  <c r="N449" i="14"/>
  <c r="L449" i="14"/>
  <c r="O449" i="14" s="1"/>
  <c r="P448" i="14"/>
  <c r="O448" i="14"/>
  <c r="N447" i="14"/>
  <c r="M447" i="14"/>
  <c r="P447" i="14" s="1"/>
  <c r="P446" i="14"/>
  <c r="N446" i="14"/>
  <c r="M446" i="14"/>
  <c r="O445" i="14"/>
  <c r="N445" i="14"/>
  <c r="M445" i="14"/>
  <c r="P445" i="14" s="1"/>
  <c r="L445" i="14"/>
  <c r="P444" i="14"/>
  <c r="N444" i="14"/>
  <c r="M444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I435" i="14"/>
  <c r="K435" i="14" s="1"/>
  <c r="J434" i="14"/>
  <c r="P431" i="14"/>
  <c r="L431" i="14"/>
  <c r="P430" i="14"/>
  <c r="O430" i="14"/>
  <c r="N429" i="14"/>
  <c r="M429" i="14"/>
  <c r="P429" i="14" s="1"/>
  <c r="P424" i="14"/>
  <c r="N424" i="14"/>
  <c r="L424" i="14"/>
  <c r="O424" i="14" s="1"/>
  <c r="P423" i="14"/>
  <c r="O423" i="14"/>
  <c r="N422" i="14"/>
  <c r="M422" i="14"/>
  <c r="P422" i="14" s="1"/>
  <c r="P421" i="14"/>
  <c r="N421" i="14"/>
  <c r="M421" i="14"/>
  <c r="O420" i="14"/>
  <c r="N420" i="14"/>
  <c r="M420" i="14"/>
  <c r="P420" i="14" s="1"/>
  <c r="L420" i="14"/>
  <c r="P419" i="14"/>
  <c r="N419" i="14"/>
  <c r="M419" i="14"/>
  <c r="J418" i="14"/>
  <c r="K413" i="14"/>
  <c r="K412" i="14"/>
  <c r="N410" i="14"/>
  <c r="N408" i="14" s="1"/>
  <c r="M410" i="14"/>
  <c r="P410" i="14" s="1"/>
  <c r="L410" i="14"/>
  <c r="O410" i="14" s="1"/>
  <c r="P409" i="14"/>
  <c r="O409" i="14"/>
  <c r="N407" i="14"/>
  <c r="N405" i="14" s="1"/>
  <c r="M407" i="14"/>
  <c r="L407" i="14"/>
  <c r="L405" i="14" s="1"/>
  <c r="O405" i="14" s="1"/>
  <c r="P406" i="14"/>
  <c r="O406" i="14"/>
  <c r="O403" i="14"/>
  <c r="N403" i="14"/>
  <c r="M403" i="14"/>
  <c r="L403" i="14"/>
  <c r="J401" i="14"/>
  <c r="I401" i="14"/>
  <c r="K401" i="14" s="1"/>
  <c r="K400" i="14"/>
  <c r="K399" i="14"/>
  <c r="N397" i="14"/>
  <c r="M397" i="14"/>
  <c r="P397" i="14" s="1"/>
  <c r="L397" i="14"/>
  <c r="O397" i="14" s="1"/>
  <c r="P396" i="14"/>
  <c r="O396" i="14"/>
  <c r="N394" i="14"/>
  <c r="N392" i="14" s="1"/>
  <c r="M394" i="14"/>
  <c r="L394" i="14"/>
  <c r="O394" i="14" s="1"/>
  <c r="P393" i="14"/>
  <c r="O393" i="14"/>
  <c r="O390" i="14"/>
  <c r="N390" i="14"/>
  <c r="M390" i="14"/>
  <c r="P390" i="14" s="1"/>
  <c r="L390" i="14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M351" i="14" s="1"/>
  <c r="L353" i="14"/>
  <c r="P352" i="14"/>
  <c r="O352" i="14"/>
  <c r="N350" i="14"/>
  <c r="N348" i="14" s="1"/>
  <c r="M350" i="14"/>
  <c r="M348" i="14" s="1"/>
  <c r="L350" i="14"/>
  <c r="P349" i="14"/>
  <c r="O349" i="14"/>
  <c r="O346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P335" i="14"/>
  <c r="O335" i="14"/>
  <c r="N333" i="14"/>
  <c r="N331" i="14" s="1"/>
  <c r="M333" i="14"/>
  <c r="L333" i="14"/>
  <c r="P332" i="14"/>
  <c r="O332" i="14"/>
  <c r="O329" i="14"/>
  <c r="N329" i="14"/>
  <c r="M329" i="14"/>
  <c r="P329" i="14" s="1"/>
  <c r="L329" i="14"/>
  <c r="I327" i="14"/>
  <c r="I325" i="14"/>
  <c r="I314" i="14" s="1"/>
  <c r="K314" i="14" s="1"/>
  <c r="N323" i="14"/>
  <c r="N321" i="14" s="1"/>
  <c r="M323" i="14"/>
  <c r="L323" i="14"/>
  <c r="P322" i="14"/>
  <c r="O322" i="14"/>
  <c r="N320" i="14"/>
  <c r="N318" i="14" s="1"/>
  <c r="M320" i="14"/>
  <c r="P320" i="14" s="1"/>
  <c r="L320" i="14"/>
  <c r="P319" i="14"/>
  <c r="O319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P305" i="14"/>
  <c r="O305" i="14"/>
  <c r="N303" i="14"/>
  <c r="N301" i="14" s="1"/>
  <c r="M303" i="14"/>
  <c r="M301" i="14" s="1"/>
  <c r="L303" i="14"/>
  <c r="P302" i="14"/>
  <c r="O302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M285" i="14"/>
  <c r="L285" i="14"/>
  <c r="L283" i="14" s="1"/>
  <c r="O283" i="14" s="1"/>
  <c r="P284" i="14"/>
  <c r="O284" i="14"/>
  <c r="N282" i="14"/>
  <c r="N280" i="14" s="1"/>
  <c r="M282" i="14"/>
  <c r="L282" i="14"/>
  <c r="L280" i="14" s="1"/>
  <c r="P281" i="14"/>
  <c r="O281" i="14"/>
  <c r="P278" i="14"/>
  <c r="N278" i="14"/>
  <c r="M278" i="14"/>
  <c r="L278" i="14"/>
  <c r="J276" i="14"/>
  <c r="I271" i="14"/>
  <c r="N269" i="14"/>
  <c r="N267" i="14" s="1"/>
  <c r="M269" i="14"/>
  <c r="P269" i="14" s="1"/>
  <c r="L269" i="14"/>
  <c r="P268" i="14"/>
  <c r="O268" i="14"/>
  <c r="N266" i="14"/>
  <c r="N264" i="14" s="1"/>
  <c r="M266" i="14"/>
  <c r="M264" i="14" s="1"/>
  <c r="L266" i="14"/>
  <c r="L264" i="14" s="1"/>
  <c r="P265" i="14"/>
  <c r="O265" i="14"/>
  <c r="O262" i="14"/>
  <c r="N262" i="14"/>
  <c r="M262" i="14"/>
  <c r="P262" i="14" s="1"/>
  <c r="L262" i="14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K244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I223" i="14"/>
  <c r="K223" i="14" s="1"/>
  <c r="L220" i="14"/>
  <c r="L219" i="14"/>
  <c r="L218" i="14"/>
  <c r="P217" i="14"/>
  <c r="N217" i="14"/>
  <c r="J216" i="14"/>
  <c r="I215" i="14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5" i="14"/>
  <c r="J194" i="14" s="1"/>
  <c r="I193" i="14"/>
  <c r="K193" i="14" s="1"/>
  <c r="P191" i="14"/>
  <c r="L191" i="14"/>
  <c r="O191" i="14" s="1"/>
  <c r="J190" i="14"/>
  <c r="N189" i="14"/>
  <c r="N187" i="14" s="1"/>
  <c r="M189" i="14"/>
  <c r="M187" i="14" s="1"/>
  <c r="P187" i="14" s="1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P182" i="14"/>
  <c r="N182" i="14"/>
  <c r="M182" i="14"/>
  <c r="L182" i="14"/>
  <c r="O182" i="14" s="1"/>
  <c r="J177" i="14"/>
  <c r="I176" i="14"/>
  <c r="K176" i="14" s="1"/>
  <c r="J174" i="14"/>
  <c r="N173" i="14"/>
  <c r="N171" i="14" s="1"/>
  <c r="M173" i="14"/>
  <c r="M171" i="14" s="1"/>
  <c r="P171" i="14" s="1"/>
  <c r="L173" i="14"/>
  <c r="O173" i="14" s="1"/>
  <c r="P172" i="14"/>
  <c r="O172" i="14"/>
  <c r="N170" i="14"/>
  <c r="M170" i="14"/>
  <c r="M168" i="14" s="1"/>
  <c r="L170" i="14"/>
  <c r="L168" i="14" s="1"/>
  <c r="P169" i="14"/>
  <c r="O169" i="14"/>
  <c r="P166" i="14"/>
  <c r="N166" i="14"/>
  <c r="M166" i="14"/>
  <c r="L166" i="14"/>
  <c r="O166" i="14" s="1"/>
  <c r="J164" i="14"/>
  <c r="I159" i="14"/>
  <c r="K159" i="14" s="1"/>
  <c r="N157" i="14"/>
  <c r="N155" i="14" s="1"/>
  <c r="M157" i="14"/>
  <c r="L157" i="14"/>
  <c r="P156" i="14"/>
  <c r="O156" i="14"/>
  <c r="N154" i="14"/>
  <c r="M154" i="14"/>
  <c r="L154" i="14"/>
  <c r="P153" i="14"/>
  <c r="O153" i="14"/>
  <c r="P150" i="14"/>
  <c r="N150" i="14"/>
  <c r="M150" i="14"/>
  <c r="L150" i="14"/>
  <c r="J148" i="14"/>
  <c r="I146" i="14"/>
  <c r="K146" i="14" s="1"/>
  <c r="I145" i="14"/>
  <c r="I144" i="14"/>
  <c r="K144" i="14" s="1"/>
  <c r="N140" i="14"/>
  <c r="N138" i="14" s="1"/>
  <c r="M140" i="14"/>
  <c r="P140" i="14" s="1"/>
  <c r="L140" i="14"/>
  <c r="L138" i="14" s="1"/>
  <c r="O138" i="14" s="1"/>
  <c r="P139" i="14"/>
  <c r="O139" i="14"/>
  <c r="N137" i="14"/>
  <c r="M137" i="14"/>
  <c r="L137" i="14"/>
  <c r="L135" i="14" s="1"/>
  <c r="O135" i="14" s="1"/>
  <c r="P136" i="14"/>
  <c r="O136" i="14"/>
  <c r="O133" i="14"/>
  <c r="N133" i="14"/>
  <c r="M133" i="14"/>
  <c r="P133" i="14" s="1"/>
  <c r="L133" i="14"/>
  <c r="J130" i="14"/>
  <c r="N127" i="14"/>
  <c r="N125" i="14" s="1"/>
  <c r="M127" i="14"/>
  <c r="L127" i="14"/>
  <c r="O127" i="14" s="1"/>
  <c r="P126" i="14"/>
  <c r="O126" i="14"/>
  <c r="N124" i="14"/>
  <c r="M124" i="14"/>
  <c r="L124" i="14"/>
  <c r="O124" i="14" s="1"/>
  <c r="P123" i="14"/>
  <c r="O123" i="14"/>
  <c r="P120" i="14"/>
  <c r="N120" i="14"/>
  <c r="M120" i="14"/>
  <c r="L120" i="14"/>
  <c r="I116" i="14"/>
  <c r="I115" i="14"/>
  <c r="K115" i="14" s="1"/>
  <c r="I114" i="14"/>
  <c r="K114" i="14" s="1"/>
  <c r="I113" i="14"/>
  <c r="K113" i="14" s="1"/>
  <c r="J112" i="14"/>
  <c r="J111" i="14"/>
  <c r="I111" i="14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J87" i="14" s="1"/>
  <c r="I99" i="14"/>
  <c r="K99" i="14" s="1"/>
  <c r="J98" i="14"/>
  <c r="I98" i="14"/>
  <c r="N96" i="14"/>
  <c r="N94" i="14" s="1"/>
  <c r="M96" i="14"/>
  <c r="M94" i="14" s="1"/>
  <c r="P94" i="14" s="1"/>
  <c r="L96" i="14"/>
  <c r="L94" i="14" s="1"/>
  <c r="O94" i="14" s="1"/>
  <c r="P95" i="14"/>
  <c r="O95" i="14"/>
  <c r="N93" i="14"/>
  <c r="M93" i="14"/>
  <c r="M91" i="14" s="1"/>
  <c r="L93" i="14"/>
  <c r="L91" i="14" s="1"/>
  <c r="P92" i="14"/>
  <c r="O92" i="14"/>
  <c r="P89" i="14"/>
  <c r="N89" i="14"/>
  <c r="M89" i="14"/>
  <c r="L89" i="14"/>
  <c r="J86" i="14"/>
  <c r="I84" i="14"/>
  <c r="K84" i="14" s="1"/>
  <c r="I83" i="14"/>
  <c r="K83" i="14" s="1"/>
  <c r="I82" i="14"/>
  <c r="I81" i="14"/>
  <c r="K81" i="14" s="1"/>
  <c r="I80" i="14"/>
  <c r="K80" i="14" s="1"/>
  <c r="I79" i="14"/>
  <c r="K79" i="14" s="1"/>
  <c r="I78" i="14"/>
  <c r="K78" i="14" s="1"/>
  <c r="J77" i="14"/>
  <c r="J76" i="14"/>
  <c r="J64" i="14" s="1"/>
  <c r="N74" i="14"/>
  <c r="N72" i="14" s="1"/>
  <c r="M74" i="14"/>
  <c r="L74" i="14"/>
  <c r="L72" i="14" s="1"/>
  <c r="O72" i="14" s="1"/>
  <c r="P73" i="14"/>
  <c r="O73" i="14"/>
  <c r="N71" i="14"/>
  <c r="M71" i="14"/>
  <c r="M69" i="14" s="1"/>
  <c r="L71" i="14"/>
  <c r="L69" i="14" s="1"/>
  <c r="P70" i="14"/>
  <c r="O70" i="14"/>
  <c r="O67" i="14"/>
  <c r="N67" i="14"/>
  <c r="M67" i="14"/>
  <c r="P67" i="14" s="1"/>
  <c r="L67" i="14"/>
  <c r="J65" i="14"/>
  <c r="N61" i="14"/>
  <c r="N59" i="14" s="1"/>
  <c r="M61" i="14"/>
  <c r="L61" i="14"/>
  <c r="P60" i="14"/>
  <c r="O60" i="14"/>
  <c r="N58" i="14"/>
  <c r="M58" i="14"/>
  <c r="L58" i="14"/>
  <c r="P57" i="14"/>
  <c r="O57" i="14"/>
  <c r="P54" i="14"/>
  <c r="N54" i="14"/>
  <c r="M54" i="14"/>
  <c r="L54" i="14"/>
  <c r="N49" i="14"/>
  <c r="N47" i="14" s="1"/>
  <c r="M49" i="14"/>
  <c r="L49" i="14"/>
  <c r="L47" i="14" s="1"/>
  <c r="O47" i="14" s="1"/>
  <c r="P48" i="14"/>
  <c r="O48" i="14"/>
  <c r="N46" i="14"/>
  <c r="N44" i="14" s="1"/>
  <c r="M46" i="14"/>
  <c r="L46" i="14"/>
  <c r="L44" i="14" s="1"/>
  <c r="P45" i="14"/>
  <c r="O45" i="14"/>
  <c r="O42" i="14"/>
  <c r="N42" i="14"/>
  <c r="M42" i="14"/>
  <c r="P42" i="14" s="1"/>
  <c r="L42" i="14"/>
  <c r="P36" i="14"/>
  <c r="N36" i="14"/>
  <c r="M36" i="14"/>
  <c r="O35" i="14"/>
  <c r="N35" i="14"/>
  <c r="N34" i="14" s="1"/>
  <c r="M35" i="14"/>
  <c r="M34" i="14" s="1"/>
  <c r="L35" i="14"/>
  <c r="P34" i="14"/>
  <c r="N33" i="14"/>
  <c r="M33" i="14"/>
  <c r="P33" i="14" s="1"/>
  <c r="P32" i="14"/>
  <c r="N32" i="14"/>
  <c r="M32" i="14"/>
  <c r="L32" i="14"/>
  <c r="O32" i="14" s="1"/>
  <c r="M31" i="14"/>
  <c r="P31" i="14" s="1"/>
  <c r="N30" i="14"/>
  <c r="M29" i="14"/>
  <c r="P25" i="14"/>
  <c r="N25" i="14"/>
  <c r="M25" i="14"/>
  <c r="L25" i="14"/>
  <c r="O25" i="14" s="1"/>
  <c r="O22" i="14"/>
  <c r="N22" i="14"/>
  <c r="M22" i="14"/>
  <c r="L22" i="14"/>
  <c r="N19" i="14"/>
  <c r="L19" i="14"/>
  <c r="O19" i="14" s="1"/>
  <c r="M15" i="14"/>
  <c r="N12" i="14"/>
  <c r="L12" i="14"/>
  <c r="O12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N815" i="13"/>
  <c r="M815" i="13"/>
  <c r="P815" i="13" s="1"/>
  <c r="L815" i="13"/>
  <c r="O815" i="13" s="1"/>
  <c r="P810" i="13"/>
  <c r="O810" i="13"/>
  <c r="N810" i="13"/>
  <c r="P809" i="13"/>
  <c r="O809" i="13"/>
  <c r="P808" i="13"/>
  <c r="O808" i="13"/>
  <c r="N808" i="13"/>
  <c r="M808" i="13"/>
  <c r="L808" i="13"/>
  <c r="P807" i="13"/>
  <c r="O807" i="13"/>
  <c r="N807" i="13"/>
  <c r="M807" i="13"/>
  <c r="M805" i="13" s="1"/>
  <c r="P805" i="13" s="1"/>
  <c r="L807" i="13"/>
  <c r="O806" i="13"/>
  <c r="N806" i="13"/>
  <c r="N805" i="13" s="1"/>
  <c r="M806" i="13"/>
  <c r="P806" i="13" s="1"/>
  <c r="L806" i="13"/>
  <c r="L805" i="13" s="1"/>
  <c r="O805" i="13" s="1"/>
  <c r="K804" i="13"/>
  <c r="J804" i="13"/>
  <c r="J803" i="13"/>
  <c r="I803" i="13"/>
  <c r="J802" i="13"/>
  <c r="J801" i="13"/>
  <c r="I801" i="13"/>
  <c r="J800" i="13"/>
  <c r="P798" i="13"/>
  <c r="O798" i="13"/>
  <c r="P797" i="13"/>
  <c r="O797" i="13"/>
  <c r="O796" i="13"/>
  <c r="N796" i="13"/>
  <c r="M796" i="13"/>
  <c r="P796" i="13" s="1"/>
  <c r="L796" i="13"/>
  <c r="N795" i="13"/>
  <c r="P791" i="13"/>
  <c r="N791" i="13"/>
  <c r="N788" i="13" s="1"/>
  <c r="N786" i="13" s="1"/>
  <c r="L791" i="13"/>
  <c r="L788" i="13" s="1"/>
  <c r="L786" i="13" s="1"/>
  <c r="P790" i="13"/>
  <c r="O790" i="13"/>
  <c r="N789" i="13"/>
  <c r="M789" i="13"/>
  <c r="P789" i="13" s="1"/>
  <c r="M788" i="13"/>
  <c r="P788" i="13" s="1"/>
  <c r="P787" i="13"/>
  <c r="N787" i="13"/>
  <c r="M787" i="13"/>
  <c r="M786" i="13" s="1"/>
  <c r="P786" i="13" s="1"/>
  <c r="L787" i="13"/>
  <c r="O787" i="13" s="1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3" i="13" s="1"/>
  <c r="P774" i="13"/>
  <c r="O774" i="13"/>
  <c r="O773" i="13"/>
  <c r="M773" i="13"/>
  <c r="P773" i="13" s="1"/>
  <c r="L773" i="13"/>
  <c r="M772" i="13"/>
  <c r="P772" i="13" s="1"/>
  <c r="L772" i="13"/>
  <c r="O772" i="13" s="1"/>
  <c r="N771" i="13"/>
  <c r="M771" i="13"/>
  <c r="P771" i="13" s="1"/>
  <c r="L771" i="13"/>
  <c r="O771" i="13" s="1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7" i="13" s="1"/>
  <c r="P758" i="13"/>
  <c r="O758" i="13"/>
  <c r="O757" i="13"/>
  <c r="M757" i="13"/>
  <c r="P757" i="13" s="1"/>
  <c r="L757" i="13"/>
  <c r="O756" i="13"/>
  <c r="M756" i="13"/>
  <c r="P756" i="13" s="1"/>
  <c r="L756" i="13"/>
  <c r="N755" i="13"/>
  <c r="M755" i="13"/>
  <c r="P755" i="13" s="1"/>
  <c r="L755" i="13"/>
  <c r="O755" i="13" s="1"/>
  <c r="L754" i="13"/>
  <c r="O754" i="13" s="1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40" i="13" s="1"/>
  <c r="P741" i="13"/>
  <c r="O741" i="13"/>
  <c r="O740" i="13"/>
  <c r="M740" i="13"/>
  <c r="P740" i="13" s="1"/>
  <c r="L740" i="13"/>
  <c r="M739" i="13"/>
  <c r="P739" i="13" s="1"/>
  <c r="L739" i="13"/>
  <c r="N738" i="13"/>
  <c r="M738" i="13"/>
  <c r="P738" i="13" s="1"/>
  <c r="L738" i="13"/>
  <c r="O738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P690" i="13"/>
  <c r="N690" i="13"/>
  <c r="L690" i="13"/>
  <c r="L687" i="13" s="1"/>
  <c r="L685" i="13" s="1"/>
  <c r="M688" i="13"/>
  <c r="P688" i="13" s="1"/>
  <c r="M687" i="13"/>
  <c r="P687" i="13" s="1"/>
  <c r="N686" i="13"/>
  <c r="M686" i="13"/>
  <c r="L686" i="13"/>
  <c r="O686" i="13" s="1"/>
  <c r="J679" i="13"/>
  <c r="J678" i="13"/>
  <c r="I678" i="13"/>
  <c r="K678" i="13" s="1"/>
  <c r="J675" i="13"/>
  <c r="I671" i="13"/>
  <c r="K671" i="13" s="1"/>
  <c r="I670" i="13"/>
  <c r="K670" i="13" s="1"/>
  <c r="J669" i="13"/>
  <c r="I669" i="13"/>
  <c r="K674" i="13" s="1"/>
  <c r="P667" i="13"/>
  <c r="O667" i="13"/>
  <c r="P666" i="13"/>
  <c r="O666" i="13"/>
  <c r="P665" i="13"/>
  <c r="N665" i="13"/>
  <c r="M665" i="13"/>
  <c r="L665" i="13"/>
  <c r="O665" i="13" s="1"/>
  <c r="P660" i="13"/>
  <c r="N660" i="13"/>
  <c r="L660" i="13"/>
  <c r="O660" i="13" s="1"/>
  <c r="P659" i="13"/>
  <c r="O659" i="13"/>
  <c r="P658" i="13"/>
  <c r="N658" i="13"/>
  <c r="M658" i="13"/>
  <c r="P657" i="13"/>
  <c r="N657" i="13"/>
  <c r="M657" i="13"/>
  <c r="O656" i="13"/>
  <c r="N656" i="13"/>
  <c r="M656" i="13"/>
  <c r="L656" i="13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N638" i="13"/>
  <c r="P634" i="13"/>
  <c r="N634" i="13"/>
  <c r="L634" i="13"/>
  <c r="L632" i="13" s="1"/>
  <c r="P633" i="13"/>
  <c r="O633" i="13"/>
  <c r="M632" i="13"/>
  <c r="P632" i="13" s="1"/>
  <c r="M631" i="13"/>
  <c r="P631" i="13" s="1"/>
  <c r="P630" i="13"/>
  <c r="N630" i="13"/>
  <c r="M630" i="13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J593" i="13" s="1"/>
  <c r="I594" i="13"/>
  <c r="I593" i="13"/>
  <c r="J592" i="13"/>
  <c r="J583" i="13"/>
  <c r="J582" i="13"/>
  <c r="J576" i="13" s="1"/>
  <c r="J559" i="13" s="1"/>
  <c r="J543" i="13" s="1"/>
  <c r="J577" i="13"/>
  <c r="I577" i="13"/>
  <c r="K577" i="13" s="1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N555" i="13"/>
  <c r="M555" i="13"/>
  <c r="N554" i="13"/>
  <c r="N549" i="13" s="1"/>
  <c r="P549" i="13"/>
  <c r="L549" i="13"/>
  <c r="P548" i="13"/>
  <c r="O548" i="13"/>
  <c r="M547" i="13"/>
  <c r="P547" i="13" s="1"/>
  <c r="P546" i="13"/>
  <c r="M546" i="13"/>
  <c r="O545" i="13"/>
  <c r="N545" i="13"/>
  <c r="L545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K537" i="13" s="1"/>
  <c r="P535" i="13"/>
  <c r="L535" i="13"/>
  <c r="P534" i="13"/>
  <c r="O534" i="13"/>
  <c r="P533" i="13"/>
  <c r="N533" i="13"/>
  <c r="M533" i="13"/>
  <c r="P528" i="13"/>
  <c r="N528" i="13"/>
  <c r="N525" i="13" s="1"/>
  <c r="L528" i="13"/>
  <c r="O528" i="13" s="1"/>
  <c r="P527" i="13"/>
  <c r="O527" i="13"/>
  <c r="P526" i="13"/>
  <c r="N526" i="13"/>
  <c r="M526" i="13"/>
  <c r="L526" i="13"/>
  <c r="O526" i="13" s="1"/>
  <c r="M525" i="13"/>
  <c r="P525" i="13" s="1"/>
  <c r="O524" i="13"/>
  <c r="N524" i="13"/>
  <c r="N523" i="13" s="1"/>
  <c r="M524" i="13"/>
  <c r="P524" i="13" s="1"/>
  <c r="L524" i="13"/>
  <c r="M523" i="13"/>
  <c r="P523" i="13" s="1"/>
  <c r="K517" i="13"/>
  <c r="J517" i="13"/>
  <c r="J501" i="13" s="1"/>
  <c r="K516" i="13"/>
  <c r="P514" i="13"/>
  <c r="O514" i="13"/>
  <c r="P513" i="13"/>
  <c r="O513" i="13"/>
  <c r="P512" i="13"/>
  <c r="O512" i="13"/>
  <c r="N512" i="13"/>
  <c r="M512" i="13"/>
  <c r="L512" i="13"/>
  <c r="P507" i="13"/>
  <c r="O507" i="13"/>
  <c r="N507" i="13"/>
  <c r="P506" i="13"/>
  <c r="O506" i="13"/>
  <c r="O505" i="13"/>
  <c r="N505" i="13"/>
  <c r="M505" i="13"/>
  <c r="P505" i="13" s="1"/>
  <c r="L505" i="13"/>
  <c r="N504" i="13"/>
  <c r="N502" i="13" s="1"/>
  <c r="M504" i="13"/>
  <c r="P504" i="13" s="1"/>
  <c r="L504" i="13"/>
  <c r="O504" i="13" s="1"/>
  <c r="N503" i="13"/>
  <c r="M503" i="13"/>
  <c r="L503" i="13"/>
  <c r="O503" i="13" s="1"/>
  <c r="L502" i="13"/>
  <c r="O502" i="13" s="1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N476" i="13"/>
  <c r="P472" i="13"/>
  <c r="N472" i="13"/>
  <c r="L472" i="13"/>
  <c r="P471" i="13"/>
  <c r="O471" i="13"/>
  <c r="N470" i="13"/>
  <c r="M470" i="13"/>
  <c r="P470" i="13" s="1"/>
  <c r="N469" i="13"/>
  <c r="M469" i="13"/>
  <c r="P469" i="13" s="1"/>
  <c r="N468" i="13"/>
  <c r="M468" i="13"/>
  <c r="P468" i="13" s="1"/>
  <c r="L468" i="13"/>
  <c r="O468" i="13" s="1"/>
  <c r="M467" i="13"/>
  <c r="P467" i="13" s="1"/>
  <c r="J466" i="13"/>
  <c r="I466" i="13"/>
  <c r="J465" i="13"/>
  <c r="I465" i="13"/>
  <c r="I464" i="13"/>
  <c r="I463" i="13"/>
  <c r="I462" i="13"/>
  <c r="I443" i="13" s="1"/>
  <c r="K443" i="13" s="1"/>
  <c r="I460" i="13"/>
  <c r="K460" i="13" s="1"/>
  <c r="K458" i="13"/>
  <c r="P456" i="13"/>
  <c r="L456" i="13"/>
  <c r="O456" i="13" s="1"/>
  <c r="P455" i="13"/>
  <c r="O455" i="13"/>
  <c r="N454" i="13"/>
  <c r="M454" i="13"/>
  <c r="P454" i="13" s="1"/>
  <c r="N453" i="13"/>
  <c r="N449" i="13" s="1"/>
  <c r="P449" i="13"/>
  <c r="L449" i="13"/>
  <c r="L447" i="13" s="1"/>
  <c r="P448" i="13"/>
  <c r="O448" i="13"/>
  <c r="M447" i="13"/>
  <c r="P447" i="13" s="1"/>
  <c r="P446" i="13"/>
  <c r="M446" i="13"/>
  <c r="P445" i="13"/>
  <c r="O445" i="13"/>
  <c r="N445" i="13"/>
  <c r="M445" i="13"/>
  <c r="M444" i="13" s="1"/>
  <c r="P444" i="13" s="1"/>
  <c r="L445" i="13"/>
  <c r="J443" i="13"/>
  <c r="J442" i="13"/>
  <c r="I441" i="13"/>
  <c r="K441" i="13" s="1"/>
  <c r="I440" i="13"/>
  <c r="I439" i="13"/>
  <c r="K439" i="13" s="1"/>
  <c r="I438" i="13"/>
  <c r="K438" i="13" s="1"/>
  <c r="I437" i="13"/>
  <c r="K437" i="13" s="1"/>
  <c r="I435" i="13"/>
  <c r="J434" i="13"/>
  <c r="P431" i="13"/>
  <c r="L431" i="13"/>
  <c r="L429" i="13" s="1"/>
  <c r="O429" i="13" s="1"/>
  <c r="P430" i="13"/>
  <c r="O430" i="13"/>
  <c r="P429" i="13"/>
  <c r="N429" i="13"/>
  <c r="M429" i="13"/>
  <c r="N428" i="13"/>
  <c r="P424" i="13"/>
  <c r="N424" i="13"/>
  <c r="L424" i="13"/>
  <c r="O424" i="13" s="1"/>
  <c r="P423" i="13"/>
  <c r="O423" i="13"/>
  <c r="N422" i="13"/>
  <c r="M422" i="13"/>
  <c r="P422" i="13" s="1"/>
  <c r="N421" i="13"/>
  <c r="M421" i="13"/>
  <c r="P421" i="13" s="1"/>
  <c r="P420" i="13"/>
  <c r="N420" i="13"/>
  <c r="N419" i="13" s="1"/>
  <c r="M420" i="13"/>
  <c r="L420" i="13"/>
  <c r="O420" i="13" s="1"/>
  <c r="M419" i="13"/>
  <c r="J418" i="13"/>
  <c r="K413" i="13"/>
  <c r="K412" i="13"/>
  <c r="N410" i="13"/>
  <c r="M410" i="13"/>
  <c r="L410" i="13"/>
  <c r="L408" i="13" s="1"/>
  <c r="O408" i="13" s="1"/>
  <c r="P409" i="13"/>
  <c r="O409" i="13"/>
  <c r="N407" i="13"/>
  <c r="N405" i="13" s="1"/>
  <c r="M407" i="13"/>
  <c r="L407" i="13"/>
  <c r="L405" i="13" s="1"/>
  <c r="O405" i="13" s="1"/>
  <c r="P406" i="13"/>
  <c r="O406" i="13"/>
  <c r="P403" i="13"/>
  <c r="O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M394" i="13"/>
  <c r="P394" i="13" s="1"/>
  <c r="L394" i="13"/>
  <c r="O394" i="13" s="1"/>
  <c r="P393" i="13"/>
  <c r="O393" i="13"/>
  <c r="P390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L353" i="13"/>
  <c r="P352" i="13"/>
  <c r="O352" i="13"/>
  <c r="N350" i="13"/>
  <c r="N348" i="13" s="1"/>
  <c r="M350" i="13"/>
  <c r="L350" i="13"/>
  <c r="P349" i="13"/>
  <c r="O349" i="13"/>
  <c r="P346" i="13"/>
  <c r="N346" i="13"/>
  <c r="M346" i="13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1" i="13" s="1"/>
  <c r="M333" i="13"/>
  <c r="M331" i="13" s="1"/>
  <c r="L333" i="13"/>
  <c r="P332" i="13"/>
  <c r="O332" i="13"/>
  <c r="P329" i="13"/>
  <c r="N329" i="13"/>
  <c r="M329" i="13"/>
  <c r="L329" i="13"/>
  <c r="O329" i="13" s="1"/>
  <c r="I327" i="13"/>
  <c r="I325" i="13"/>
  <c r="N323" i="13"/>
  <c r="N321" i="13" s="1"/>
  <c r="M323" i="13"/>
  <c r="L323" i="13"/>
  <c r="L321" i="13" s="1"/>
  <c r="O321" i="13" s="1"/>
  <c r="P322" i="13"/>
  <c r="O322" i="13"/>
  <c r="N320" i="13"/>
  <c r="M320" i="13"/>
  <c r="L320" i="13"/>
  <c r="O320" i="13" s="1"/>
  <c r="P319" i="13"/>
  <c r="O319" i="13"/>
  <c r="P316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L304" i="13" s="1"/>
  <c r="O304" i="13" s="1"/>
  <c r="P305" i="13"/>
  <c r="O305" i="13"/>
  <c r="N303" i="13"/>
  <c r="N301" i="13" s="1"/>
  <c r="M303" i="13"/>
  <c r="M301" i="13" s="1"/>
  <c r="P301" i="13" s="1"/>
  <c r="L303" i="13"/>
  <c r="O303" i="13" s="1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I287" i="13"/>
  <c r="N285" i="13"/>
  <c r="N283" i="13" s="1"/>
  <c r="M285" i="13"/>
  <c r="L285" i="13"/>
  <c r="O285" i="13" s="1"/>
  <c r="P284" i="13"/>
  <c r="O284" i="13"/>
  <c r="N282" i="13"/>
  <c r="M282" i="13"/>
  <c r="M280" i="13" s="1"/>
  <c r="L282" i="13"/>
  <c r="L280" i="13" s="1"/>
  <c r="P281" i="13"/>
  <c r="O281" i="13"/>
  <c r="N278" i="13"/>
  <c r="M278" i="13"/>
  <c r="P278" i="13" s="1"/>
  <c r="L278" i="13"/>
  <c r="J276" i="13"/>
  <c r="I271" i="13"/>
  <c r="K271" i="13" s="1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L266" i="13"/>
  <c r="L264" i="13" s="1"/>
  <c r="P265" i="13"/>
  <c r="O265" i="13"/>
  <c r="N262" i="13"/>
  <c r="M262" i="13"/>
  <c r="P262" i="13" s="1"/>
  <c r="L262" i="13"/>
  <c r="O262" i="13" s="1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J237" i="13"/>
  <c r="J236" i="13"/>
  <c r="I236" i="13"/>
  <c r="K236" i="13" s="1"/>
  <c r="K235" i="13"/>
  <c r="J235" i="13"/>
  <c r="I235" i="13"/>
  <c r="J233" i="13"/>
  <c r="N231" i="13"/>
  <c r="N230" i="13"/>
  <c r="N229" i="13"/>
  <c r="N228" i="13"/>
  <c r="J226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M189" i="13"/>
  <c r="P189" i="13" s="1"/>
  <c r="L189" i="13"/>
  <c r="P188" i="13"/>
  <c r="O188" i="13"/>
  <c r="N186" i="13"/>
  <c r="N184" i="13" s="1"/>
  <c r="M186" i="13"/>
  <c r="L186" i="13"/>
  <c r="P185" i="13"/>
  <c r="O185" i="13"/>
  <c r="P182" i="13"/>
  <c r="N182" i="13"/>
  <c r="M182" i="13"/>
  <c r="L182" i="13"/>
  <c r="J180" i="13"/>
  <c r="J177" i="13"/>
  <c r="J164" i="13" s="1"/>
  <c r="I176" i="13"/>
  <c r="J174" i="13"/>
  <c r="N173" i="13"/>
  <c r="N171" i="13" s="1"/>
  <c r="M173" i="13"/>
  <c r="P173" i="13" s="1"/>
  <c r="L173" i="13"/>
  <c r="P172" i="13"/>
  <c r="O172" i="13"/>
  <c r="N170" i="13"/>
  <c r="N168" i="13" s="1"/>
  <c r="M170" i="13"/>
  <c r="M168" i="13" s="1"/>
  <c r="L170" i="13"/>
  <c r="P169" i="13"/>
  <c r="O169" i="13"/>
  <c r="P166" i="13"/>
  <c r="O166" i="13"/>
  <c r="N166" i="13"/>
  <c r="M166" i="13"/>
  <c r="L166" i="13"/>
  <c r="I159" i="13"/>
  <c r="K159" i="13" s="1"/>
  <c r="N157" i="13"/>
  <c r="N155" i="13" s="1"/>
  <c r="M157" i="13"/>
  <c r="P157" i="13" s="1"/>
  <c r="L157" i="13"/>
  <c r="L155" i="13" s="1"/>
  <c r="O155" i="13" s="1"/>
  <c r="P156" i="13"/>
  <c r="O156" i="13"/>
  <c r="N154" i="13"/>
  <c r="N152" i="13" s="1"/>
  <c r="M154" i="13"/>
  <c r="L154" i="13"/>
  <c r="P153" i="13"/>
  <c r="O153" i="13"/>
  <c r="N150" i="13"/>
  <c r="M150" i="13"/>
  <c r="L150" i="13"/>
  <c r="O150" i="13" s="1"/>
  <c r="J148" i="13"/>
  <c r="I146" i="13"/>
  <c r="I145" i="13"/>
  <c r="I143" i="13" s="1"/>
  <c r="I144" i="13"/>
  <c r="K144" i="13" s="1"/>
  <c r="N140" i="13"/>
  <c r="M140" i="13"/>
  <c r="M138" i="13" s="1"/>
  <c r="L140" i="13"/>
  <c r="P139" i="13"/>
  <c r="O139" i="13"/>
  <c r="N137" i="13"/>
  <c r="M137" i="13"/>
  <c r="M135" i="13" s="1"/>
  <c r="L137" i="13"/>
  <c r="L135" i="13" s="1"/>
  <c r="P136" i="13"/>
  <c r="O136" i="13"/>
  <c r="O133" i="13"/>
  <c r="N133" i="13"/>
  <c r="M133" i="13"/>
  <c r="L133" i="13"/>
  <c r="J130" i="13"/>
  <c r="N127" i="13"/>
  <c r="N125" i="13" s="1"/>
  <c r="M127" i="13"/>
  <c r="P127" i="13" s="1"/>
  <c r="L127" i="13"/>
  <c r="O127" i="13" s="1"/>
  <c r="P126" i="13"/>
  <c r="O126" i="13"/>
  <c r="N124" i="13"/>
  <c r="N122" i="13" s="1"/>
  <c r="M124" i="13"/>
  <c r="P124" i="13" s="1"/>
  <c r="L124" i="13"/>
  <c r="P123" i="13"/>
  <c r="O123" i="13"/>
  <c r="N120" i="13"/>
  <c r="M120" i="13"/>
  <c r="L120" i="13"/>
  <c r="O120" i="13" s="1"/>
  <c r="I116" i="13"/>
  <c r="K116" i="13" s="1"/>
  <c r="I115" i="13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J98" i="13"/>
  <c r="J86" i="13" s="1"/>
  <c r="I98" i="13"/>
  <c r="I86" i="13" s="1"/>
  <c r="N96" i="13"/>
  <c r="N94" i="13" s="1"/>
  <c r="M96" i="13"/>
  <c r="P96" i="13" s="1"/>
  <c r="L96" i="13"/>
  <c r="P95" i="13"/>
  <c r="O95" i="13"/>
  <c r="N93" i="13"/>
  <c r="N91" i="13" s="1"/>
  <c r="M93" i="13"/>
  <c r="L93" i="13"/>
  <c r="P92" i="13"/>
  <c r="O92" i="13"/>
  <c r="O89" i="13"/>
  <c r="N89" i="13"/>
  <c r="M89" i="13"/>
  <c r="P89" i="13" s="1"/>
  <c r="L89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I78" i="13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M71" i="13"/>
  <c r="L71" i="13"/>
  <c r="O71" i="13" s="1"/>
  <c r="P70" i="13"/>
  <c r="O70" i="13"/>
  <c r="N67" i="13"/>
  <c r="M67" i="13"/>
  <c r="L67" i="13"/>
  <c r="J65" i="13"/>
  <c r="N61" i="13"/>
  <c r="N59" i="13" s="1"/>
  <c r="M61" i="13"/>
  <c r="P61" i="13" s="1"/>
  <c r="L61" i="13"/>
  <c r="O61" i="13" s="1"/>
  <c r="P60" i="13"/>
  <c r="O60" i="13"/>
  <c r="N58" i="13"/>
  <c r="M58" i="13"/>
  <c r="L58" i="13"/>
  <c r="P57" i="13"/>
  <c r="O57" i="13"/>
  <c r="P54" i="13"/>
  <c r="O54" i="13"/>
  <c r="N54" i="13"/>
  <c r="M54" i="13"/>
  <c r="L54" i="13"/>
  <c r="N49" i="13"/>
  <c r="N47" i="13" s="1"/>
  <c r="M49" i="13"/>
  <c r="P49" i="13" s="1"/>
  <c r="L49" i="13"/>
  <c r="L47" i="13" s="1"/>
  <c r="O47" i="13" s="1"/>
  <c r="P48" i="13"/>
  <c r="O48" i="13"/>
  <c r="N46" i="13"/>
  <c r="M46" i="13"/>
  <c r="M44" i="13" s="1"/>
  <c r="L46" i="13"/>
  <c r="L44" i="13" s="1"/>
  <c r="P45" i="13"/>
  <c r="O45" i="13"/>
  <c r="P42" i="13"/>
  <c r="N42" i="13"/>
  <c r="M42" i="13"/>
  <c r="L42" i="13"/>
  <c r="O42" i="13" s="1"/>
  <c r="P36" i="13"/>
  <c r="N36" i="13"/>
  <c r="M36" i="13"/>
  <c r="O35" i="13"/>
  <c r="N35" i="13"/>
  <c r="N29" i="13" s="1"/>
  <c r="M35" i="13"/>
  <c r="M29" i="13" s="1"/>
  <c r="P29" i="13" s="1"/>
  <c r="L35" i="13"/>
  <c r="N34" i="13"/>
  <c r="P33" i="13"/>
  <c r="M33" i="13"/>
  <c r="P32" i="13"/>
  <c r="O32" i="13"/>
  <c r="N32" i="13"/>
  <c r="M32" i="13"/>
  <c r="L32" i="13"/>
  <c r="M30" i="13"/>
  <c r="P30" i="13" s="1"/>
  <c r="O29" i="13"/>
  <c r="L29" i="13"/>
  <c r="M28" i="13"/>
  <c r="P28" i="13" s="1"/>
  <c r="N25" i="13"/>
  <c r="M25" i="13"/>
  <c r="L25" i="13"/>
  <c r="N22" i="13"/>
  <c r="M22" i="13"/>
  <c r="L22" i="13"/>
  <c r="O22" i="13" s="1"/>
  <c r="L19" i="13"/>
  <c r="N12" i="13"/>
  <c r="M12" i="13"/>
  <c r="L12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P791" i="12"/>
  <c r="N791" i="12"/>
  <c r="L791" i="12"/>
  <c r="L789" i="12" s="1"/>
  <c r="O789" i="12" s="1"/>
  <c r="P790" i="12"/>
  <c r="O790" i="12"/>
  <c r="N789" i="12"/>
  <c r="M789" i="12"/>
  <c r="P789" i="12" s="1"/>
  <c r="P788" i="12"/>
  <c r="N788" i="12"/>
  <c r="M788" i="12"/>
  <c r="O787" i="12"/>
  <c r="N787" i="12"/>
  <c r="M787" i="12"/>
  <c r="M786" i="12" s="1"/>
  <c r="P786" i="12" s="1"/>
  <c r="L787" i="12"/>
  <c r="N786" i="12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P774" i="12"/>
  <c r="O774" i="12"/>
  <c r="P773" i="12"/>
  <c r="N773" i="12"/>
  <c r="M773" i="12"/>
  <c r="L773" i="12"/>
  <c r="O773" i="12" s="1"/>
  <c r="O772" i="12"/>
  <c r="N772" i="12"/>
  <c r="M772" i="12"/>
  <c r="P772" i="12" s="1"/>
  <c r="L772" i="12"/>
  <c r="P771" i="12"/>
  <c r="N771" i="12"/>
  <c r="N770" i="12" s="1"/>
  <c r="M771" i="12"/>
  <c r="L771" i="12"/>
  <c r="O771" i="12" s="1"/>
  <c r="O770" i="12"/>
  <c r="M770" i="12"/>
  <c r="P770" i="12" s="1"/>
  <c r="L770" i="12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P758" i="12"/>
  <c r="O758" i="12"/>
  <c r="P757" i="12"/>
  <c r="N757" i="12"/>
  <c r="M757" i="12"/>
  <c r="L757" i="12"/>
  <c r="O757" i="12" s="1"/>
  <c r="O756" i="12"/>
  <c r="N756" i="12"/>
  <c r="M756" i="12"/>
  <c r="P756" i="12" s="1"/>
  <c r="L756" i="12"/>
  <c r="P755" i="12"/>
  <c r="N755" i="12"/>
  <c r="N754" i="12" s="1"/>
  <c r="M755" i="12"/>
  <c r="L755" i="12"/>
  <c r="O755" i="12" s="1"/>
  <c r="O754" i="12"/>
  <c r="M754" i="12"/>
  <c r="P754" i="12" s="1"/>
  <c r="L754" i="12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P741" i="12"/>
  <c r="O741" i="12"/>
  <c r="P740" i="12"/>
  <c r="N740" i="12"/>
  <c r="M740" i="12"/>
  <c r="L740" i="12"/>
  <c r="O740" i="12" s="1"/>
  <c r="O739" i="12"/>
  <c r="N739" i="12"/>
  <c r="M739" i="12"/>
  <c r="P739" i="12" s="1"/>
  <c r="L739" i="12"/>
  <c r="P738" i="12"/>
  <c r="N738" i="12"/>
  <c r="N737" i="12" s="1"/>
  <c r="M738" i="12"/>
  <c r="L738" i="12"/>
  <c r="O738" i="12" s="1"/>
  <c r="O737" i="12"/>
  <c r="M737" i="12"/>
  <c r="P737" i="12" s="1"/>
  <c r="L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P690" i="12"/>
  <c r="N690" i="12"/>
  <c r="L690" i="12"/>
  <c r="N688" i="12"/>
  <c r="M688" i="12"/>
  <c r="P688" i="12" s="1"/>
  <c r="P687" i="12"/>
  <c r="N687" i="12"/>
  <c r="M687" i="12"/>
  <c r="O686" i="12"/>
  <c r="N686" i="12"/>
  <c r="M686" i="12"/>
  <c r="M685" i="12" s="1"/>
  <c r="P685" i="12" s="1"/>
  <c r="L686" i="12"/>
  <c r="N685" i="12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P667" i="12"/>
  <c r="O667" i="12"/>
  <c r="P666" i="12"/>
  <c r="O666" i="12"/>
  <c r="O665" i="12"/>
  <c r="N665" i="12"/>
  <c r="M665" i="12"/>
  <c r="P665" i="12" s="1"/>
  <c r="L665" i="12"/>
  <c r="P660" i="12"/>
  <c r="N660" i="12"/>
  <c r="N657" i="12" s="1"/>
  <c r="L660" i="12"/>
  <c r="O660" i="12" s="1"/>
  <c r="P659" i="12"/>
  <c r="O659" i="12"/>
  <c r="P658" i="12"/>
  <c r="N658" i="12"/>
  <c r="M658" i="12"/>
  <c r="M657" i="12"/>
  <c r="P656" i="12"/>
  <c r="N656" i="12"/>
  <c r="M656" i="12"/>
  <c r="L656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N639" i="12"/>
  <c r="M639" i="12"/>
  <c r="P639" i="12" s="1"/>
  <c r="P634" i="12"/>
  <c r="N634" i="12"/>
  <c r="N631" i="12" s="1"/>
  <c r="L634" i="12"/>
  <c r="O634" i="12" s="1"/>
  <c r="P633" i="12"/>
  <c r="O633" i="12"/>
  <c r="P632" i="12"/>
  <c r="N632" i="12"/>
  <c r="M632" i="12"/>
  <c r="M631" i="12"/>
  <c r="P631" i="12" s="1"/>
  <c r="P630" i="12"/>
  <c r="N630" i="12"/>
  <c r="N629" i="12" s="1"/>
  <c r="M630" i="12"/>
  <c r="L630" i="12"/>
  <c r="M629" i="12"/>
  <c r="P629" i="12" s="1"/>
  <c r="J621" i="12"/>
  <c r="I621" i="12"/>
  <c r="K621" i="12" s="1"/>
  <c r="J620" i="12"/>
  <c r="I620" i="12"/>
  <c r="K613" i="12"/>
  <c r="J613" i="12"/>
  <c r="K612" i="12"/>
  <c r="J612" i="12"/>
  <c r="K611" i="12"/>
  <c r="J611" i="12"/>
  <c r="J604" i="12"/>
  <c r="J603" i="12"/>
  <c r="J596" i="12"/>
  <c r="J595" i="12"/>
  <c r="J594" i="12"/>
  <c r="I594" i="12"/>
  <c r="K594" i="12" s="1"/>
  <c r="I593" i="12"/>
  <c r="I592" i="12" s="1"/>
  <c r="J583" i="12"/>
  <c r="J577" i="12" s="1"/>
  <c r="J582" i="12"/>
  <c r="I577" i="12"/>
  <c r="J576" i="12"/>
  <c r="J559" i="12" s="1"/>
  <c r="I576" i="12"/>
  <c r="K576" i="12" s="1"/>
  <c r="J569" i="12"/>
  <c r="I569" i="12"/>
  <c r="J568" i="12"/>
  <c r="I568" i="12"/>
  <c r="K568" i="12" s="1"/>
  <c r="J561" i="12"/>
  <c r="I561" i="12"/>
  <c r="J560" i="12"/>
  <c r="I560" i="12"/>
  <c r="K560" i="12" s="1"/>
  <c r="P557" i="12"/>
  <c r="L557" i="12"/>
  <c r="O557" i="12" s="1"/>
  <c r="P556" i="12"/>
  <c r="O556" i="12"/>
  <c r="P555" i="12"/>
  <c r="N555" i="12"/>
  <c r="N545" i="12" s="1"/>
  <c r="N544" i="12" s="1"/>
  <c r="M555" i="12"/>
  <c r="P549" i="12"/>
  <c r="N549" i="12"/>
  <c r="L549" i="12"/>
  <c r="P548" i="12"/>
  <c r="O548" i="12"/>
  <c r="N547" i="12"/>
  <c r="M547" i="12"/>
  <c r="P547" i="12" s="1"/>
  <c r="P546" i="12"/>
  <c r="N546" i="12"/>
  <c r="M546" i="12"/>
  <c r="O545" i="12"/>
  <c r="M545" i="12"/>
  <c r="P545" i="12" s="1"/>
  <c r="L545" i="12"/>
  <c r="P544" i="12"/>
  <c r="M544" i="12"/>
  <c r="J543" i="12"/>
  <c r="I542" i="12"/>
  <c r="K542" i="12" s="1"/>
  <c r="I541" i="12"/>
  <c r="K541" i="12" s="1"/>
  <c r="I540" i="12"/>
  <c r="K540" i="12" s="1"/>
  <c r="I539" i="12"/>
  <c r="I538" i="12"/>
  <c r="K538" i="12" s="1"/>
  <c r="I537" i="12"/>
  <c r="I522" i="12" s="1"/>
  <c r="K522" i="12" s="1"/>
  <c r="P535" i="12"/>
  <c r="L535" i="12"/>
  <c r="O535" i="12" s="1"/>
  <c r="P534" i="12"/>
  <c r="O534" i="12"/>
  <c r="P533" i="12"/>
  <c r="N533" i="12"/>
  <c r="M533" i="12"/>
  <c r="P528" i="12"/>
  <c r="N528" i="12"/>
  <c r="N525" i="12" s="1"/>
  <c r="L528" i="12"/>
  <c r="L526" i="12" s="1"/>
  <c r="O526" i="12" s="1"/>
  <c r="P527" i="12"/>
  <c r="O527" i="12"/>
  <c r="N526" i="12"/>
  <c r="M526" i="12"/>
  <c r="P526" i="12" s="1"/>
  <c r="P525" i="12"/>
  <c r="M525" i="12"/>
  <c r="O524" i="12"/>
  <c r="N524" i="12"/>
  <c r="M524" i="12"/>
  <c r="M523" i="12" s="1"/>
  <c r="P523" i="12" s="1"/>
  <c r="L524" i="12"/>
  <c r="N523" i="12"/>
  <c r="K517" i="12"/>
  <c r="J517" i="12"/>
  <c r="K516" i="12"/>
  <c r="P514" i="12"/>
  <c r="O514" i="12"/>
  <c r="P513" i="12"/>
  <c r="O513" i="12"/>
  <c r="O512" i="12"/>
  <c r="N512" i="12"/>
  <c r="M512" i="12"/>
  <c r="P512" i="12" s="1"/>
  <c r="L512" i="12"/>
  <c r="P507" i="12"/>
  <c r="O507" i="12"/>
  <c r="N507" i="12"/>
  <c r="N505" i="12" s="1"/>
  <c r="P506" i="12"/>
  <c r="O506" i="12"/>
  <c r="O505" i="12"/>
  <c r="M505" i="12"/>
  <c r="P505" i="12" s="1"/>
  <c r="L505" i="12"/>
  <c r="P504" i="12"/>
  <c r="N504" i="12"/>
  <c r="N502" i="12" s="1"/>
  <c r="M504" i="12"/>
  <c r="L504" i="12"/>
  <c r="O504" i="12" s="1"/>
  <c r="O503" i="12"/>
  <c r="N503" i="12"/>
  <c r="M503" i="12"/>
  <c r="L503" i="12"/>
  <c r="L502" i="12"/>
  <c r="O502" i="12" s="1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P472" i="12"/>
  <c r="N472" i="12"/>
  <c r="L472" i="12"/>
  <c r="O472" i="12" s="1"/>
  <c r="P471" i="12"/>
  <c r="O471" i="12"/>
  <c r="N470" i="12"/>
  <c r="M470" i="12"/>
  <c r="P470" i="12" s="1"/>
  <c r="P469" i="12"/>
  <c r="N469" i="12"/>
  <c r="N467" i="12" s="1"/>
  <c r="M469" i="12"/>
  <c r="O468" i="12"/>
  <c r="N468" i="12"/>
  <c r="M468" i="12"/>
  <c r="M467" i="12" s="1"/>
  <c r="L468" i="12"/>
  <c r="P467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58" i="12"/>
  <c r="P456" i="12"/>
  <c r="L456" i="12"/>
  <c r="L454" i="12" s="1"/>
  <c r="O454" i="12" s="1"/>
  <c r="P455" i="12"/>
  <c r="O455" i="12"/>
  <c r="N454" i="12"/>
  <c r="M454" i="12"/>
  <c r="P454" i="12" s="1"/>
  <c r="P449" i="12"/>
  <c r="N449" i="12"/>
  <c r="N446" i="12" s="1"/>
  <c r="L449" i="12"/>
  <c r="P448" i="12"/>
  <c r="O448" i="12"/>
  <c r="M447" i="12"/>
  <c r="P447" i="12" s="1"/>
  <c r="M446" i="12"/>
  <c r="P445" i="12"/>
  <c r="N445" i="12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J434" i="12"/>
  <c r="P431" i="12"/>
  <c r="L431" i="12"/>
  <c r="L429" i="12" s="1"/>
  <c r="O429" i="12" s="1"/>
  <c r="P430" i="12"/>
  <c r="O430" i="12"/>
  <c r="N429" i="12"/>
  <c r="M429" i="12"/>
  <c r="P429" i="12" s="1"/>
  <c r="P424" i="12"/>
  <c r="N424" i="12"/>
  <c r="N421" i="12" s="1"/>
  <c r="L424" i="12"/>
  <c r="P423" i="12"/>
  <c r="O423" i="12"/>
  <c r="P422" i="12"/>
  <c r="M422" i="12"/>
  <c r="M421" i="12"/>
  <c r="P421" i="12" s="1"/>
  <c r="P420" i="12"/>
  <c r="N420" i="12"/>
  <c r="N419" i="12" s="1"/>
  <c r="M420" i="12"/>
  <c r="L420" i="12"/>
  <c r="M419" i="12"/>
  <c r="P419" i="12" s="1"/>
  <c r="J418" i="12"/>
  <c r="K413" i="12"/>
  <c r="K412" i="12"/>
  <c r="N410" i="12"/>
  <c r="N408" i="12" s="1"/>
  <c r="M410" i="12"/>
  <c r="M408" i="12" s="1"/>
  <c r="P408" i="12" s="1"/>
  <c r="L410" i="12"/>
  <c r="O410" i="12" s="1"/>
  <c r="P409" i="12"/>
  <c r="O409" i="12"/>
  <c r="N407" i="12"/>
  <c r="N405" i="12" s="1"/>
  <c r="M407" i="12"/>
  <c r="M405" i="12" s="1"/>
  <c r="P405" i="12" s="1"/>
  <c r="L407" i="12"/>
  <c r="O407" i="12" s="1"/>
  <c r="P406" i="12"/>
  <c r="O406" i="12"/>
  <c r="P403" i="12"/>
  <c r="N403" i="12"/>
  <c r="M403" i="12"/>
  <c r="L403" i="12"/>
  <c r="J401" i="12"/>
  <c r="I401" i="12"/>
  <c r="K401" i="12" s="1"/>
  <c r="K400" i="12"/>
  <c r="K399" i="12"/>
  <c r="N397" i="12"/>
  <c r="M397" i="12"/>
  <c r="P397" i="12" s="1"/>
  <c r="L397" i="12"/>
  <c r="P396" i="12"/>
  <c r="O396" i="12"/>
  <c r="N394" i="12"/>
  <c r="N392" i="12" s="1"/>
  <c r="M394" i="12"/>
  <c r="P394" i="12" s="1"/>
  <c r="L394" i="12"/>
  <c r="O394" i="12" s="1"/>
  <c r="P393" i="12"/>
  <c r="O393" i="12"/>
  <c r="N390" i="12"/>
  <c r="M390" i="12"/>
  <c r="P390" i="12" s="1"/>
  <c r="L390" i="12"/>
  <c r="O390" i="12" s="1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P352" i="12"/>
  <c r="O352" i="12"/>
  <c r="N350" i="12"/>
  <c r="M350" i="12"/>
  <c r="L350" i="12"/>
  <c r="L348" i="12" s="1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M333" i="12"/>
  <c r="L333" i="12"/>
  <c r="L331" i="12" s="1"/>
  <c r="P332" i="12"/>
  <c r="O332" i="12"/>
  <c r="O329" i="12"/>
  <c r="N329" i="12"/>
  <c r="M329" i="12"/>
  <c r="L329" i="12"/>
  <c r="I327" i="12"/>
  <c r="I325" i="12"/>
  <c r="K325" i="12" s="1"/>
  <c r="N323" i="12"/>
  <c r="N321" i="12" s="1"/>
  <c r="M323" i="12"/>
  <c r="L323" i="12"/>
  <c r="O323" i="12" s="1"/>
  <c r="P322" i="12"/>
  <c r="O322" i="12"/>
  <c r="N320" i="12"/>
  <c r="N318" i="12" s="1"/>
  <c r="M320" i="12"/>
  <c r="P320" i="12" s="1"/>
  <c r="L320" i="12"/>
  <c r="O320" i="12" s="1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L306" i="12"/>
  <c r="P305" i="12"/>
  <c r="O305" i="12"/>
  <c r="N303" i="12"/>
  <c r="M303" i="12"/>
  <c r="M301" i="12" s="1"/>
  <c r="L303" i="12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M285" i="12"/>
  <c r="L285" i="12"/>
  <c r="P284" i="12"/>
  <c r="O284" i="12"/>
  <c r="N282" i="12"/>
  <c r="N280" i="12" s="1"/>
  <c r="M282" i="12"/>
  <c r="L282" i="12"/>
  <c r="P281" i="12"/>
  <c r="O281" i="12"/>
  <c r="P278" i="12"/>
  <c r="N278" i="12"/>
  <c r="M278" i="12"/>
  <c r="L278" i="12"/>
  <c r="J276" i="12"/>
  <c r="I271" i="12"/>
  <c r="I260" i="12" s="1"/>
  <c r="K260" i="12" s="1"/>
  <c r="N269" i="12"/>
  <c r="N267" i="12" s="1"/>
  <c r="M269" i="12"/>
  <c r="P269" i="12" s="1"/>
  <c r="L269" i="12"/>
  <c r="P268" i="12"/>
  <c r="O268" i="12"/>
  <c r="N266" i="12"/>
  <c r="M266" i="12"/>
  <c r="M264" i="12" s="1"/>
  <c r="L266" i="12"/>
  <c r="P265" i="12"/>
  <c r="O265" i="12"/>
  <c r="O262" i="12"/>
  <c r="N262" i="12"/>
  <c r="M262" i="12"/>
  <c r="P262" i="12" s="1"/>
  <c r="L262" i="12"/>
  <c r="J260" i="12"/>
  <c r="K258" i="12"/>
  <c r="K257" i="12"/>
  <c r="I255" i="12"/>
  <c r="I248" i="12" s="1"/>
  <c r="K248" i="12" s="1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N227" i="12" s="1"/>
  <c r="J237" i="12"/>
  <c r="J226" i="12" s="1"/>
  <c r="J180" i="12" s="1"/>
  <c r="J236" i="12"/>
  <c r="I236" i="12"/>
  <c r="K236" i="12" s="1"/>
  <c r="J235" i="12"/>
  <c r="I235" i="12"/>
  <c r="K235" i="12" s="1"/>
  <c r="J233" i="12"/>
  <c r="N231" i="12"/>
  <c r="N230" i="12"/>
  <c r="N229" i="12"/>
  <c r="N228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I190" i="12" s="1"/>
  <c r="P191" i="12"/>
  <c r="L191" i="12"/>
  <c r="O191" i="12" s="1"/>
  <c r="J190" i="12"/>
  <c r="N189" i="12"/>
  <c r="N187" i="12" s="1"/>
  <c r="M189" i="12"/>
  <c r="L189" i="12"/>
  <c r="P188" i="12"/>
  <c r="O188" i="12"/>
  <c r="N186" i="12"/>
  <c r="N184" i="12" s="1"/>
  <c r="M186" i="12"/>
  <c r="M184" i="12" s="1"/>
  <c r="L186" i="12"/>
  <c r="P185" i="12"/>
  <c r="O185" i="12"/>
  <c r="O182" i="12"/>
  <c r="N182" i="12"/>
  <c r="M182" i="12"/>
  <c r="L182" i="12"/>
  <c r="J177" i="12"/>
  <c r="I176" i="12"/>
  <c r="K176" i="12" s="1"/>
  <c r="J174" i="12"/>
  <c r="N173" i="12"/>
  <c r="N171" i="12" s="1"/>
  <c r="M173" i="12"/>
  <c r="L173" i="12"/>
  <c r="P172" i="12"/>
  <c r="O172" i="12"/>
  <c r="N170" i="12"/>
  <c r="N168" i="12" s="1"/>
  <c r="M170" i="12"/>
  <c r="M168" i="12" s="1"/>
  <c r="L170" i="12"/>
  <c r="P169" i="12"/>
  <c r="O169" i="12"/>
  <c r="O166" i="12"/>
  <c r="N166" i="12"/>
  <c r="M166" i="12"/>
  <c r="L166" i="12"/>
  <c r="J164" i="12"/>
  <c r="I159" i="12"/>
  <c r="K159" i="12" s="1"/>
  <c r="N157" i="12"/>
  <c r="N155" i="12" s="1"/>
  <c r="M157" i="12"/>
  <c r="P157" i="12" s="1"/>
  <c r="L157" i="12"/>
  <c r="P156" i="12"/>
  <c r="O156" i="12"/>
  <c r="N154" i="12"/>
  <c r="M154" i="12"/>
  <c r="M152" i="12" s="1"/>
  <c r="L154" i="12"/>
  <c r="P153" i="12"/>
  <c r="O153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M138" i="12" s="1"/>
  <c r="P138" i="12" s="1"/>
  <c r="L140" i="12"/>
  <c r="L138" i="12" s="1"/>
  <c r="O138" i="12" s="1"/>
  <c r="P139" i="12"/>
  <c r="O139" i="12"/>
  <c r="N137" i="12"/>
  <c r="N135" i="12" s="1"/>
  <c r="M137" i="12"/>
  <c r="P137" i="12" s="1"/>
  <c r="L137" i="12"/>
  <c r="O137" i="12" s="1"/>
  <c r="P136" i="12"/>
  <c r="O136" i="12"/>
  <c r="N133" i="12"/>
  <c r="M133" i="12"/>
  <c r="P133" i="12" s="1"/>
  <c r="L133" i="12"/>
  <c r="O133" i="12" s="1"/>
  <c r="J130" i="12"/>
  <c r="N127" i="12"/>
  <c r="N125" i="12" s="1"/>
  <c r="M127" i="12"/>
  <c r="P127" i="12" s="1"/>
  <c r="L127" i="12"/>
  <c r="O127" i="12" s="1"/>
  <c r="P126" i="12"/>
  <c r="O126" i="12"/>
  <c r="N124" i="12"/>
  <c r="N122" i="12" s="1"/>
  <c r="M124" i="12"/>
  <c r="L124" i="12"/>
  <c r="O124" i="12" s="1"/>
  <c r="P123" i="12"/>
  <c r="O123" i="12"/>
  <c r="O120" i="12"/>
  <c r="N120" i="12"/>
  <c r="M120" i="12"/>
  <c r="L120" i="12"/>
  <c r="I116" i="12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I98" i="12"/>
  <c r="I86" i="12" s="1"/>
  <c r="N96" i="12"/>
  <c r="N94" i="12" s="1"/>
  <c r="M96" i="12"/>
  <c r="L96" i="12"/>
  <c r="L94" i="12" s="1"/>
  <c r="O94" i="12" s="1"/>
  <c r="P95" i="12"/>
  <c r="O95" i="12"/>
  <c r="N93" i="12"/>
  <c r="N91" i="12" s="1"/>
  <c r="M93" i="12"/>
  <c r="L93" i="12"/>
  <c r="L91" i="12" s="1"/>
  <c r="P92" i="12"/>
  <c r="O92" i="12"/>
  <c r="O89" i="12"/>
  <c r="N89" i="12"/>
  <c r="M89" i="12"/>
  <c r="P89" i="12" s="1"/>
  <c r="L89" i="12"/>
  <c r="J87" i="12"/>
  <c r="J86" i="12"/>
  <c r="I84" i="12"/>
  <c r="K84" i="12" s="1"/>
  <c r="I83" i="12"/>
  <c r="K83" i="12" s="1"/>
  <c r="I82" i="12"/>
  <c r="I81" i="12"/>
  <c r="K81" i="12" s="1"/>
  <c r="I80" i="12"/>
  <c r="K80" i="12" s="1"/>
  <c r="I79" i="12"/>
  <c r="K79" i="12" s="1"/>
  <c r="I78" i="12"/>
  <c r="K78" i="12" s="1"/>
  <c r="J77" i="12"/>
  <c r="J65" i="12" s="1"/>
  <c r="J76" i="12"/>
  <c r="N74" i="12"/>
  <c r="N72" i="12" s="1"/>
  <c r="M74" i="12"/>
  <c r="P74" i="12" s="1"/>
  <c r="L74" i="12"/>
  <c r="P73" i="12"/>
  <c r="O73" i="12"/>
  <c r="N71" i="12"/>
  <c r="N69" i="12" s="1"/>
  <c r="M71" i="12"/>
  <c r="M69" i="12" s="1"/>
  <c r="L71" i="12"/>
  <c r="P70" i="12"/>
  <c r="O70" i="12"/>
  <c r="N67" i="12"/>
  <c r="M67" i="12"/>
  <c r="P67" i="12" s="1"/>
  <c r="L67" i="12"/>
  <c r="O67" i="12" s="1"/>
  <c r="J64" i="12"/>
  <c r="N61" i="12"/>
  <c r="M61" i="12"/>
  <c r="M59" i="12" s="1"/>
  <c r="L61" i="12"/>
  <c r="L59" i="12" s="1"/>
  <c r="P60" i="12"/>
  <c r="O60" i="12"/>
  <c r="N58" i="12"/>
  <c r="N56" i="12" s="1"/>
  <c r="M58" i="12"/>
  <c r="M56" i="12" s="1"/>
  <c r="L58" i="12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O49" i="12" s="1"/>
  <c r="P48" i="12"/>
  <c r="O48" i="12"/>
  <c r="N46" i="12"/>
  <c r="N44" i="12" s="1"/>
  <c r="M46" i="12"/>
  <c r="M44" i="12" s="1"/>
  <c r="L46" i="12"/>
  <c r="L44" i="12" s="1"/>
  <c r="P45" i="12"/>
  <c r="O45" i="12"/>
  <c r="N42" i="12"/>
  <c r="M42" i="12"/>
  <c r="P42" i="12" s="1"/>
  <c r="L42" i="12"/>
  <c r="O42" i="12" s="1"/>
  <c r="N36" i="12"/>
  <c r="N34" i="12" s="1"/>
  <c r="M36" i="12"/>
  <c r="P36" i="12" s="1"/>
  <c r="N35" i="12"/>
  <c r="M35" i="12"/>
  <c r="M34" i="12" s="1"/>
  <c r="P34" i="12" s="1"/>
  <c r="L35" i="12"/>
  <c r="O35" i="12" s="1"/>
  <c r="P33" i="12"/>
  <c r="N33" i="12"/>
  <c r="N31" i="12" s="1"/>
  <c r="M33" i="12"/>
  <c r="O32" i="12"/>
  <c r="N32" i="12"/>
  <c r="M32" i="12"/>
  <c r="M31" i="12" s="1"/>
  <c r="P31" i="12" s="1"/>
  <c r="L32" i="12"/>
  <c r="N29" i="12"/>
  <c r="P25" i="12"/>
  <c r="O25" i="12"/>
  <c r="N25" i="12"/>
  <c r="M25" i="12"/>
  <c r="L25" i="12"/>
  <c r="L19" i="12" s="1"/>
  <c r="P22" i="12"/>
  <c r="N22" i="12"/>
  <c r="M22" i="12"/>
  <c r="M12" i="12" s="1"/>
  <c r="L22" i="12"/>
  <c r="O22" i="12" s="1"/>
  <c r="M19" i="12"/>
  <c r="P19" i="12" s="1"/>
  <c r="N15" i="12"/>
  <c r="L12" i="12"/>
  <c r="O12" i="12" s="1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N807" i="11" s="1"/>
  <c r="P809" i="11"/>
  <c r="O809" i="11"/>
  <c r="P808" i="11"/>
  <c r="N808" i="11"/>
  <c r="M808" i="11"/>
  <c r="L808" i="11"/>
  <c r="O808" i="11" s="1"/>
  <c r="O807" i="11"/>
  <c r="M807" i="11"/>
  <c r="P807" i="11" s="1"/>
  <c r="L807" i="11"/>
  <c r="P806" i="11"/>
  <c r="N806" i="11"/>
  <c r="M806" i="11"/>
  <c r="L806" i="11"/>
  <c r="M805" i="11"/>
  <c r="P805" i="11" s="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L791" i="11"/>
  <c r="O791" i="11" s="1"/>
  <c r="P790" i="11"/>
  <c r="O790" i="11"/>
  <c r="P789" i="11"/>
  <c r="N789" i="11"/>
  <c r="M789" i="11"/>
  <c r="L789" i="11"/>
  <c r="O789" i="11" s="1"/>
  <c r="M788" i="11"/>
  <c r="P788" i="11" s="1"/>
  <c r="P787" i="11"/>
  <c r="N787" i="11"/>
  <c r="N786" i="11" s="1"/>
  <c r="M787" i="11"/>
  <c r="L787" i="11"/>
  <c r="M786" i="11"/>
  <c r="P786" i="11" s="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N773" i="11" s="1"/>
  <c r="P774" i="11"/>
  <c r="O774" i="11"/>
  <c r="O773" i="11"/>
  <c r="M773" i="11"/>
  <c r="P773" i="11" s="1"/>
  <c r="L773" i="11"/>
  <c r="P772" i="11"/>
  <c r="N772" i="11"/>
  <c r="M772" i="11"/>
  <c r="L772" i="11"/>
  <c r="O772" i="11" s="1"/>
  <c r="O771" i="11"/>
  <c r="N771" i="11"/>
  <c r="M771" i="11"/>
  <c r="L771" i="11"/>
  <c r="N770" i="11"/>
  <c r="L770" i="11"/>
  <c r="O770" i="11" s="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N757" i="11" s="1"/>
  <c r="P758" i="11"/>
  <c r="O758" i="11"/>
  <c r="O757" i="11"/>
  <c r="M757" i="11"/>
  <c r="P757" i="11" s="1"/>
  <c r="L757" i="11"/>
  <c r="P756" i="11"/>
  <c r="N756" i="11"/>
  <c r="N754" i="11" s="1"/>
  <c r="M756" i="11"/>
  <c r="L756" i="11"/>
  <c r="O756" i="11" s="1"/>
  <c r="O755" i="11"/>
  <c r="N755" i="11"/>
  <c r="M755" i="11"/>
  <c r="L755" i="11"/>
  <c r="L754" i="11"/>
  <c r="O754" i="11" s="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N740" i="11" s="1"/>
  <c r="P741" i="11"/>
  <c r="O741" i="11"/>
  <c r="O740" i="11"/>
  <c r="M740" i="11"/>
  <c r="P740" i="11" s="1"/>
  <c r="L740" i="11"/>
  <c r="P739" i="11"/>
  <c r="N739" i="11"/>
  <c r="M739" i="11"/>
  <c r="L739" i="11"/>
  <c r="O739" i="11" s="1"/>
  <c r="O738" i="11"/>
  <c r="N738" i="11"/>
  <c r="M738" i="11"/>
  <c r="L738" i="11"/>
  <c r="N737" i="1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L690" i="11"/>
  <c r="O690" i="11" s="1"/>
  <c r="P688" i="11"/>
  <c r="N688" i="11"/>
  <c r="M688" i="11"/>
  <c r="M687" i="11"/>
  <c r="P687" i="11" s="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7" i="11" s="1"/>
  <c r="P659" i="11"/>
  <c r="O659" i="11"/>
  <c r="N658" i="11"/>
  <c r="M658" i="11"/>
  <c r="P658" i="11" s="1"/>
  <c r="P657" i="11"/>
  <c r="N657" i="11"/>
  <c r="M657" i="11"/>
  <c r="O656" i="11"/>
  <c r="N656" i="11"/>
  <c r="M656" i="11"/>
  <c r="M655" i="11" s="1"/>
  <c r="L656" i="11"/>
  <c r="P655" i="11"/>
  <c r="N655" i="11"/>
  <c r="J654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P640" i="11"/>
  <c r="O640" i="11"/>
  <c r="P639" i="11"/>
  <c r="N639" i="11"/>
  <c r="M639" i="11"/>
  <c r="N638" i="11"/>
  <c r="N637" i="11"/>
  <c r="N634" i="11" s="1"/>
  <c r="P634" i="11"/>
  <c r="L634" i="11"/>
  <c r="L632" i="11" s="1"/>
  <c r="P633" i="11"/>
  <c r="O633" i="11"/>
  <c r="M632" i="11"/>
  <c r="P632" i="11" s="1"/>
  <c r="P631" i="11"/>
  <c r="M631" i="11"/>
  <c r="O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I594" i="11"/>
  <c r="J593" i="11"/>
  <c r="J592" i="11" s="1"/>
  <c r="I593" i="11"/>
  <c r="K593" i="11" s="1"/>
  <c r="J583" i="11"/>
  <c r="J582" i="11"/>
  <c r="J576" i="11" s="1"/>
  <c r="J559" i="11" s="1"/>
  <c r="J543" i="11" s="1"/>
  <c r="J577" i="11"/>
  <c r="I577" i="11"/>
  <c r="K577" i="11" s="1"/>
  <c r="I576" i="1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P556" i="11"/>
  <c r="O556" i="11"/>
  <c r="N555" i="11"/>
  <c r="M555" i="11"/>
  <c r="N553" i="11"/>
  <c r="N552" i="11"/>
  <c r="P549" i="11"/>
  <c r="N549" i="11"/>
  <c r="N546" i="11" s="1"/>
  <c r="L549" i="11"/>
  <c r="O549" i="11" s="1"/>
  <c r="P548" i="11"/>
  <c r="O548" i="11"/>
  <c r="P547" i="11"/>
  <c r="M547" i="11"/>
  <c r="M546" i="11"/>
  <c r="P546" i="11" s="1"/>
  <c r="N545" i="1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K537" i="11" s="1"/>
  <c r="P535" i="11"/>
  <c r="L535" i="11"/>
  <c r="P534" i="11"/>
  <c r="O534" i="11"/>
  <c r="N533" i="11"/>
  <c r="M533" i="11"/>
  <c r="P533" i="11" s="1"/>
  <c r="P528" i="11"/>
  <c r="N528" i="11"/>
  <c r="N525" i="11" s="1"/>
  <c r="L528" i="11"/>
  <c r="O528" i="11" s="1"/>
  <c r="P527" i="11"/>
  <c r="O527" i="11"/>
  <c r="P526" i="11"/>
  <c r="M526" i="11"/>
  <c r="M525" i="11"/>
  <c r="P524" i="11"/>
  <c r="N524" i="11"/>
  <c r="N523" i="11" s="1"/>
  <c r="M524" i="11"/>
  <c r="L524" i="11"/>
  <c r="K517" i="11"/>
  <c r="J517" i="11"/>
  <c r="J501" i="11" s="1"/>
  <c r="K516" i="11"/>
  <c r="P514" i="11"/>
  <c r="O514" i="11"/>
  <c r="P513" i="11"/>
  <c r="O513" i="11"/>
  <c r="P512" i="11"/>
  <c r="N512" i="11"/>
  <c r="M512" i="11"/>
  <c r="L512" i="11"/>
  <c r="O512" i="11" s="1"/>
  <c r="P507" i="11"/>
  <c r="O507" i="11"/>
  <c r="N507" i="11"/>
  <c r="N504" i="11" s="1"/>
  <c r="P506" i="11"/>
  <c r="O506" i="11"/>
  <c r="P505" i="11"/>
  <c r="N505" i="11"/>
  <c r="M505" i="11"/>
  <c r="L505" i="11"/>
  <c r="O505" i="11" s="1"/>
  <c r="O504" i="11"/>
  <c r="M504" i="11"/>
  <c r="P504" i="11" s="1"/>
  <c r="L504" i="11"/>
  <c r="P503" i="11"/>
  <c r="N503" i="11"/>
  <c r="N502" i="11" s="1"/>
  <c r="M503" i="11"/>
  <c r="L503" i="11"/>
  <c r="L502" i="11" s="1"/>
  <c r="O502" i="11"/>
  <c r="M502" i="11"/>
  <c r="P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2" i="11" s="1"/>
  <c r="N473" i="11"/>
  <c r="P472" i="11"/>
  <c r="L472" i="11"/>
  <c r="L470" i="11" s="1"/>
  <c r="P471" i="11"/>
  <c r="O471" i="11"/>
  <c r="P470" i="11"/>
  <c r="N470" i="11"/>
  <c r="M470" i="11"/>
  <c r="M469" i="11"/>
  <c r="P469" i="11" s="1"/>
  <c r="P468" i="11"/>
  <c r="N468" i="11"/>
  <c r="M468" i="11"/>
  <c r="L468" i="11"/>
  <c r="M467" i="11"/>
  <c r="P467" i="11" s="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K458" i="11"/>
  <c r="P456" i="11"/>
  <c r="L456" i="11"/>
  <c r="O456" i="11" s="1"/>
  <c r="P455" i="11"/>
  <c r="O455" i="11"/>
  <c r="P454" i="11"/>
  <c r="N454" i="11"/>
  <c r="M454" i="11"/>
  <c r="N453" i="11"/>
  <c r="N452" i="11"/>
  <c r="N450" i="11"/>
  <c r="P449" i="11"/>
  <c r="N449" i="11"/>
  <c r="L449" i="11"/>
  <c r="L447" i="11" s="1"/>
  <c r="P448" i="11"/>
  <c r="O448" i="11"/>
  <c r="P447" i="11"/>
  <c r="M447" i="11"/>
  <c r="M446" i="11"/>
  <c r="P446" i="11" s="1"/>
  <c r="P445" i="11"/>
  <c r="N445" i="11"/>
  <c r="M445" i="11"/>
  <c r="L445" i="11"/>
  <c r="M444" i="11"/>
  <c r="P444" i="11" s="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J434" i="11"/>
  <c r="P431" i="11"/>
  <c r="L431" i="11"/>
  <c r="L429" i="11" s="1"/>
  <c r="O429" i="11" s="1"/>
  <c r="P430" i="11"/>
  <c r="O430" i="11"/>
  <c r="N429" i="11"/>
  <c r="M429" i="11"/>
  <c r="P429" i="11" s="1"/>
  <c r="P424" i="11"/>
  <c r="N424" i="11"/>
  <c r="L424" i="11"/>
  <c r="P423" i="11"/>
  <c r="O423" i="11"/>
  <c r="M422" i="11"/>
  <c r="P422" i="11" s="1"/>
  <c r="M421" i="11"/>
  <c r="P421" i="11" s="1"/>
  <c r="P420" i="11"/>
  <c r="N420" i="11"/>
  <c r="M420" i="11"/>
  <c r="L420" i="11"/>
  <c r="M419" i="11"/>
  <c r="J418" i="11"/>
  <c r="K413" i="11"/>
  <c r="K412" i="11"/>
  <c r="N410" i="11"/>
  <c r="N408" i="11" s="1"/>
  <c r="M410" i="11"/>
  <c r="M408" i="11" s="1"/>
  <c r="P408" i="11" s="1"/>
  <c r="L410" i="11"/>
  <c r="O410" i="11" s="1"/>
  <c r="P409" i="11"/>
  <c r="O409" i="11"/>
  <c r="N407" i="11"/>
  <c r="N405" i="11" s="1"/>
  <c r="M407" i="11"/>
  <c r="L407" i="11"/>
  <c r="L405" i="11" s="1"/>
  <c r="O405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L395" i="11" s="1"/>
  <c r="O395" i="11" s="1"/>
  <c r="P396" i="11"/>
  <c r="O396" i="11"/>
  <c r="N394" i="11"/>
  <c r="N392" i="11" s="1"/>
  <c r="M394" i="11"/>
  <c r="M392" i="11" s="1"/>
  <c r="P392" i="11" s="1"/>
  <c r="L394" i="11"/>
  <c r="P393" i="11"/>
  <c r="O393" i="11"/>
  <c r="P390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P352" i="11"/>
  <c r="O352" i="11"/>
  <c r="N350" i="11"/>
  <c r="M350" i="11"/>
  <c r="L350" i="11"/>
  <c r="L348" i="11" s="1"/>
  <c r="P349" i="11"/>
  <c r="O349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O336" i="11" s="1"/>
  <c r="P335" i="11"/>
  <c r="O335" i="11"/>
  <c r="N333" i="11"/>
  <c r="N331" i="11" s="1"/>
  <c r="M333" i="11"/>
  <c r="M331" i="11" s="1"/>
  <c r="L333" i="11"/>
  <c r="P332" i="11"/>
  <c r="O332" i="11"/>
  <c r="N329" i="11"/>
  <c r="M329" i="11"/>
  <c r="L329" i="11"/>
  <c r="O329" i="11" s="1"/>
  <c r="I327" i="11"/>
  <c r="I325" i="11"/>
  <c r="K325" i="11" s="1"/>
  <c r="N323" i="11"/>
  <c r="N321" i="11" s="1"/>
  <c r="M323" i="11"/>
  <c r="P323" i="11" s="1"/>
  <c r="L323" i="11"/>
  <c r="O323" i="11" s="1"/>
  <c r="P322" i="11"/>
  <c r="O322" i="11"/>
  <c r="N320" i="11"/>
  <c r="M320" i="11"/>
  <c r="L320" i="11"/>
  <c r="L318" i="11" s="1"/>
  <c r="O318" i="11" s="1"/>
  <c r="P319" i="11"/>
  <c r="O319" i="11"/>
  <c r="P316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I297" i="11" s="1"/>
  <c r="K297" i="11" s="1"/>
  <c r="N306" i="11"/>
  <c r="N304" i="11" s="1"/>
  <c r="M306" i="11"/>
  <c r="P306" i="11" s="1"/>
  <c r="L306" i="11"/>
  <c r="O306" i="11" s="1"/>
  <c r="P305" i="11"/>
  <c r="O305" i="11"/>
  <c r="N303" i="11"/>
  <c r="M303" i="11"/>
  <c r="M301" i="11" s="1"/>
  <c r="L303" i="11"/>
  <c r="L301" i="11" s="1"/>
  <c r="P302" i="11"/>
  <c r="O302" i="11"/>
  <c r="P299" i="11"/>
  <c r="N299" i="11"/>
  <c r="M299" i="11"/>
  <c r="L299" i="11"/>
  <c r="O299" i="11" s="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N283" i="11" s="1"/>
  <c r="M285" i="11"/>
  <c r="P285" i="11" s="1"/>
  <c r="L285" i="11"/>
  <c r="P284" i="11"/>
  <c r="O284" i="11"/>
  <c r="N282" i="11"/>
  <c r="M282" i="11"/>
  <c r="M280" i="11" s="1"/>
  <c r="L282" i="11"/>
  <c r="P281" i="11"/>
  <c r="O281" i="11"/>
  <c r="N278" i="11"/>
  <c r="M278" i="11"/>
  <c r="P278" i="11" s="1"/>
  <c r="L278" i="11"/>
  <c r="J276" i="11"/>
  <c r="I271" i="11"/>
  <c r="K271" i="11" s="1"/>
  <c r="N269" i="11"/>
  <c r="M269" i="11"/>
  <c r="P269" i="11" s="1"/>
  <c r="L269" i="11"/>
  <c r="P268" i="11"/>
  <c r="O268" i="11"/>
  <c r="N266" i="11"/>
  <c r="N264" i="11" s="1"/>
  <c r="M266" i="11"/>
  <c r="L266" i="11"/>
  <c r="L264" i="11" s="1"/>
  <c r="P265" i="11"/>
  <c r="O265" i="11"/>
  <c r="P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J237" i="11"/>
  <c r="J226" i="11" s="1"/>
  <c r="J180" i="11" s="1"/>
  <c r="J236" i="11"/>
  <c r="I236" i="11"/>
  <c r="K236" i="11" s="1"/>
  <c r="J235" i="11"/>
  <c r="I235" i="11"/>
  <c r="K235" i="11" s="1"/>
  <c r="J233" i="11"/>
  <c r="N231" i="11"/>
  <c r="N230" i="11"/>
  <c r="N229" i="11"/>
  <c r="N228" i="11"/>
  <c r="N227" i="11"/>
  <c r="I225" i="11"/>
  <c r="I224" i="11"/>
  <c r="K224" i="11" s="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P191" i="11"/>
  <c r="L191" i="11"/>
  <c r="O191" i="11" s="1"/>
  <c r="J190" i="11"/>
  <c r="N189" i="11"/>
  <c r="N187" i="11" s="1"/>
  <c r="M189" i="11"/>
  <c r="P189" i="11" s="1"/>
  <c r="L189" i="11"/>
  <c r="P188" i="11"/>
  <c r="O188" i="11"/>
  <c r="N186" i="11"/>
  <c r="N184" i="11" s="1"/>
  <c r="M186" i="11"/>
  <c r="M184" i="11" s="1"/>
  <c r="L186" i="11"/>
  <c r="L184" i="11" s="1"/>
  <c r="P185" i="11"/>
  <c r="O185" i="11"/>
  <c r="P182" i="11"/>
  <c r="O182" i="11"/>
  <c r="N182" i="11"/>
  <c r="M182" i="11"/>
  <c r="L182" i="11"/>
  <c r="J177" i="11"/>
  <c r="J164" i="11" s="1"/>
  <c r="I176" i="11"/>
  <c r="K176" i="11" s="1"/>
  <c r="J174" i="11"/>
  <c r="N173" i="11"/>
  <c r="N171" i="11" s="1"/>
  <c r="M173" i="11"/>
  <c r="P173" i="11" s="1"/>
  <c r="L173" i="11"/>
  <c r="O173" i="11" s="1"/>
  <c r="P172" i="11"/>
  <c r="O172" i="11"/>
  <c r="N170" i="11"/>
  <c r="M170" i="11"/>
  <c r="M168" i="11" s="1"/>
  <c r="L170" i="11"/>
  <c r="L168" i="11" s="1"/>
  <c r="P169" i="11"/>
  <c r="O169" i="11"/>
  <c r="P166" i="11"/>
  <c r="O166" i="11"/>
  <c r="N166" i="11"/>
  <c r="M166" i="11"/>
  <c r="L166" i="11"/>
  <c r="I159" i="11"/>
  <c r="K159" i="11" s="1"/>
  <c r="N157" i="11"/>
  <c r="N155" i="11" s="1"/>
  <c r="M157" i="11"/>
  <c r="P157" i="11" s="1"/>
  <c r="L157" i="11"/>
  <c r="O157" i="11" s="1"/>
  <c r="P156" i="11"/>
  <c r="O156" i="11"/>
  <c r="N154" i="11"/>
  <c r="N152" i="11" s="1"/>
  <c r="M154" i="11"/>
  <c r="M152" i="11" s="1"/>
  <c r="L154" i="11"/>
  <c r="L152" i="11" s="1"/>
  <c r="O152" i="11" s="1"/>
  <c r="P153" i="11"/>
  <c r="O153" i="11"/>
  <c r="N150" i="11"/>
  <c r="M150" i="11"/>
  <c r="L150" i="11"/>
  <c r="J148" i="11"/>
  <c r="I146" i="11"/>
  <c r="K146" i="11" s="1"/>
  <c r="I145" i="11"/>
  <c r="K145" i="11" s="1"/>
  <c r="I144" i="11"/>
  <c r="N140" i="11"/>
  <c r="N138" i="11" s="1"/>
  <c r="M140" i="11"/>
  <c r="M138" i="11" s="1"/>
  <c r="L140" i="11"/>
  <c r="L138" i="11" s="1"/>
  <c r="P139" i="11"/>
  <c r="O139" i="11"/>
  <c r="N137" i="11"/>
  <c r="N135" i="11" s="1"/>
  <c r="M137" i="11"/>
  <c r="M135" i="11" s="1"/>
  <c r="L137" i="11"/>
  <c r="P136" i="11"/>
  <c r="O136" i="11"/>
  <c r="O133" i="11"/>
  <c r="N133" i="11"/>
  <c r="M133" i="11"/>
  <c r="P133" i="11" s="1"/>
  <c r="L133" i="11"/>
  <c r="J130" i="11"/>
  <c r="N127" i="11"/>
  <c r="N125" i="11" s="1"/>
  <c r="M127" i="11"/>
  <c r="L127" i="11"/>
  <c r="L125" i="11" s="1"/>
  <c r="P126" i="11"/>
  <c r="O126" i="11"/>
  <c r="N124" i="11"/>
  <c r="N122" i="11" s="1"/>
  <c r="M124" i="11"/>
  <c r="P124" i="11" s="1"/>
  <c r="L124" i="11"/>
  <c r="O124" i="11" s="1"/>
  <c r="P123" i="11"/>
  <c r="O123" i="11"/>
  <c r="P120" i="11"/>
  <c r="N120" i="11"/>
  <c r="M120" i="11"/>
  <c r="L120" i="11"/>
  <c r="J118" i="11"/>
  <c r="K118" i="11" s="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I87" i="11" s="1"/>
  <c r="J98" i="11"/>
  <c r="J86" i="11" s="1"/>
  <c r="I98" i="11"/>
  <c r="K98" i="11" s="1"/>
  <c r="N96" i="11"/>
  <c r="N94" i="11" s="1"/>
  <c r="M96" i="11"/>
  <c r="P96" i="11" s="1"/>
  <c r="L96" i="11"/>
  <c r="O96" i="11" s="1"/>
  <c r="P95" i="11"/>
  <c r="O95" i="11"/>
  <c r="N93" i="11"/>
  <c r="N91" i="11" s="1"/>
  <c r="M93" i="11"/>
  <c r="L93" i="11"/>
  <c r="L91" i="11" s="1"/>
  <c r="P92" i="11"/>
  <c r="O92" i="11"/>
  <c r="N89" i="11"/>
  <c r="M89" i="11"/>
  <c r="L89" i="11"/>
  <c r="O89" i="11" s="1"/>
  <c r="I84" i="11"/>
  <c r="K84" i="11" s="1"/>
  <c r="I83" i="11"/>
  <c r="K83" i="11" s="1"/>
  <c r="I82" i="11"/>
  <c r="I81" i="11"/>
  <c r="K81" i="11" s="1"/>
  <c r="I80" i="11"/>
  <c r="K80" i="11" s="1"/>
  <c r="I79" i="11"/>
  <c r="I78" i="11"/>
  <c r="K78" i="11" s="1"/>
  <c r="J77" i="11"/>
  <c r="J76" i="11"/>
  <c r="J64" i="11" s="1"/>
  <c r="N74" i="11"/>
  <c r="N72" i="11" s="1"/>
  <c r="M74" i="11"/>
  <c r="P74" i="11" s="1"/>
  <c r="L74" i="11"/>
  <c r="P73" i="11"/>
  <c r="O73" i="11"/>
  <c r="N71" i="11"/>
  <c r="N69" i="11" s="1"/>
  <c r="M71" i="11"/>
  <c r="L71" i="11"/>
  <c r="P70" i="11"/>
  <c r="O70" i="11"/>
  <c r="P67" i="11"/>
  <c r="N67" i="11"/>
  <c r="M67" i="11"/>
  <c r="L67" i="11"/>
  <c r="J65" i="11"/>
  <c r="N61" i="11"/>
  <c r="N59" i="11" s="1"/>
  <c r="M61" i="11"/>
  <c r="M59" i="11" s="1"/>
  <c r="L61" i="11"/>
  <c r="L59" i="11" s="1"/>
  <c r="P60" i="11"/>
  <c r="O60" i="11"/>
  <c r="N58" i="11"/>
  <c r="M58" i="11"/>
  <c r="M56" i="11" s="1"/>
  <c r="L58" i="11"/>
  <c r="P57" i="11"/>
  <c r="O57" i="11"/>
  <c r="O54" i="11"/>
  <c r="N54" i="11"/>
  <c r="M54" i="11"/>
  <c r="P54" i="11" s="1"/>
  <c r="L54" i="11"/>
  <c r="N49" i="11"/>
  <c r="N47" i="11" s="1"/>
  <c r="M49" i="11"/>
  <c r="L49" i="11"/>
  <c r="P48" i="11"/>
  <c r="O48" i="11"/>
  <c r="N46" i="11"/>
  <c r="N44" i="11" s="1"/>
  <c r="M46" i="11"/>
  <c r="L46" i="11"/>
  <c r="P45" i="11"/>
  <c r="O45" i="11"/>
  <c r="P42" i="11"/>
  <c r="N42" i="11"/>
  <c r="M42" i="11"/>
  <c r="L42" i="11"/>
  <c r="N36" i="11"/>
  <c r="M36" i="11"/>
  <c r="P36" i="11" s="1"/>
  <c r="N35" i="11"/>
  <c r="M35" i="11"/>
  <c r="P35" i="11" s="1"/>
  <c r="L35" i="11"/>
  <c r="O35" i="11" s="1"/>
  <c r="M34" i="11"/>
  <c r="P34" i="11" s="1"/>
  <c r="P33" i="11"/>
  <c r="M33" i="11"/>
  <c r="P32" i="11"/>
  <c r="O32" i="11"/>
  <c r="N32" i="11"/>
  <c r="M32" i="11"/>
  <c r="L32" i="11"/>
  <c r="P31" i="11"/>
  <c r="M31" i="11"/>
  <c r="M30" i="11"/>
  <c r="P30" i="11" s="1"/>
  <c r="N29" i="11"/>
  <c r="M29" i="11"/>
  <c r="P29" i="11" s="1"/>
  <c r="L29" i="11"/>
  <c r="O29" i="11" s="1"/>
  <c r="M28" i="11"/>
  <c r="P28" i="11" s="1"/>
  <c r="P25" i="11"/>
  <c r="O25" i="11"/>
  <c r="N25" i="11"/>
  <c r="M25" i="11"/>
  <c r="L25" i="11"/>
  <c r="N22" i="11"/>
  <c r="M22" i="11"/>
  <c r="L22" i="11"/>
  <c r="O22" i="11" s="1"/>
  <c r="N15" i="11"/>
  <c r="M15" i="11"/>
  <c r="P15" i="11" s="1"/>
  <c r="L15" i="11"/>
  <c r="O15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N805" i="10" s="1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O791" i="10" s="1"/>
  <c r="P790" i="10"/>
  <c r="O790" i="10"/>
  <c r="P789" i="10"/>
  <c r="M789" i="10"/>
  <c r="M788" i="10"/>
  <c r="L788" i="10"/>
  <c r="O788" i="10" s="1"/>
  <c r="P787" i="10"/>
  <c r="N787" i="10"/>
  <c r="N786" i="10" s="1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P756" i="10"/>
  <c r="N756" i="10"/>
  <c r="N754" i="10" s="1"/>
  <c r="M756" i="10"/>
  <c r="L756" i="10"/>
  <c r="O756" i="10" s="1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9" i="10" s="1"/>
  <c r="O738" i="10"/>
  <c r="N738" i="10"/>
  <c r="M738" i="10"/>
  <c r="L738" i="10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L690" i="10"/>
  <c r="O690" i="10" s="1"/>
  <c r="P688" i="10"/>
  <c r="N688" i="10"/>
  <c r="M688" i="10"/>
  <c r="M687" i="10"/>
  <c r="P686" i="10"/>
  <c r="N686" i="10"/>
  <c r="N685" i="10" s="1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I669" i="10"/>
  <c r="K675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P659" i="10"/>
  <c r="O659" i="10"/>
  <c r="N658" i="10"/>
  <c r="M658" i="10"/>
  <c r="P658" i="10" s="1"/>
  <c r="P657" i="10"/>
  <c r="N657" i="10"/>
  <c r="M657" i="10"/>
  <c r="O656" i="10"/>
  <c r="N656" i="10"/>
  <c r="M656" i="10"/>
  <c r="M655" i="10" s="1"/>
  <c r="P655" i="10" s="1"/>
  <c r="L656" i="10"/>
  <c r="N655" i="10"/>
  <c r="J654" i="10"/>
  <c r="K652" i="10"/>
  <c r="J652" i="10"/>
  <c r="J651" i="10"/>
  <c r="J628" i="10" s="1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P634" i="10"/>
  <c r="N634" i="10"/>
  <c r="L634" i="10"/>
  <c r="P633" i="10"/>
  <c r="O633" i="10"/>
  <c r="N632" i="10"/>
  <c r="M632" i="10"/>
  <c r="P632" i="10" s="1"/>
  <c r="P631" i="10"/>
  <c r="N631" i="10"/>
  <c r="N629" i="10" s="1"/>
  <c r="M631" i="10"/>
  <c r="O630" i="10"/>
  <c r="N630" i="10"/>
  <c r="M630" i="10"/>
  <c r="P630" i="10" s="1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K594" i="10" s="1"/>
  <c r="J593" i="10"/>
  <c r="J592" i="10" s="1"/>
  <c r="I593" i="10"/>
  <c r="K593" i="10" s="1"/>
  <c r="J583" i="10"/>
  <c r="J582" i="10"/>
  <c r="J576" i="10" s="1"/>
  <c r="J577" i="10"/>
  <c r="I577" i="10"/>
  <c r="K577" i="10" s="1"/>
  <c r="I576" i="10"/>
  <c r="I559" i="10" s="1"/>
  <c r="J569" i="10"/>
  <c r="I569" i="10"/>
  <c r="J568" i="10"/>
  <c r="I568" i="10"/>
  <c r="K568" i="10" s="1"/>
  <c r="J561" i="10"/>
  <c r="I561" i="10"/>
  <c r="J560" i="10"/>
  <c r="I560" i="10"/>
  <c r="K560" i="10" s="1"/>
  <c r="J559" i="10"/>
  <c r="J543" i="10" s="1"/>
  <c r="P557" i="10"/>
  <c r="L557" i="10"/>
  <c r="O557" i="10" s="1"/>
  <c r="P556" i="10"/>
  <c r="O556" i="10"/>
  <c r="N555" i="10"/>
  <c r="M555" i="10"/>
  <c r="P555" i="10" s="1"/>
  <c r="P549" i="10"/>
  <c r="N549" i="10"/>
  <c r="L549" i="10"/>
  <c r="L547" i="10" s="1"/>
  <c r="O547" i="10" s="1"/>
  <c r="P548" i="10"/>
  <c r="O548" i="10"/>
  <c r="P547" i="10"/>
  <c r="N547" i="10"/>
  <c r="M547" i="10"/>
  <c r="M546" i="10"/>
  <c r="P546" i="10" s="1"/>
  <c r="N545" i="10"/>
  <c r="L545" i="10"/>
  <c r="I542" i="10"/>
  <c r="K542" i="10" s="1"/>
  <c r="I541" i="10"/>
  <c r="K541" i="10" s="1"/>
  <c r="I540" i="10"/>
  <c r="K540" i="10" s="1"/>
  <c r="I539" i="10"/>
  <c r="I538" i="10"/>
  <c r="K538" i="10" s="1"/>
  <c r="I537" i="10"/>
  <c r="K537" i="10" s="1"/>
  <c r="P535" i="10"/>
  <c r="L535" i="10"/>
  <c r="O535" i="10" s="1"/>
  <c r="P534" i="10"/>
  <c r="O534" i="10"/>
  <c r="N533" i="10"/>
  <c r="M533" i="10"/>
  <c r="P533" i="10" s="1"/>
  <c r="P528" i="10"/>
  <c r="N528" i="10"/>
  <c r="N525" i="10" s="1"/>
  <c r="L528" i="10"/>
  <c r="O528" i="10" s="1"/>
  <c r="P527" i="10"/>
  <c r="O527" i="10"/>
  <c r="P526" i="10"/>
  <c r="N526" i="10"/>
  <c r="M526" i="10"/>
  <c r="M525" i="10"/>
  <c r="P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N504" i="10" s="1"/>
  <c r="P506" i="10"/>
  <c r="O506" i="10"/>
  <c r="P505" i="10"/>
  <c r="N505" i="10"/>
  <c r="M505" i="10"/>
  <c r="L505" i="10"/>
  <c r="O505" i="10" s="1"/>
  <c r="O504" i="10"/>
  <c r="M504" i="10"/>
  <c r="P504" i="10" s="1"/>
  <c r="L504" i="10"/>
  <c r="P503" i="10"/>
  <c r="N503" i="10"/>
  <c r="N502" i="10" s="1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N477" i="10"/>
  <c r="M477" i="10"/>
  <c r="P477" i="10" s="1"/>
  <c r="N476" i="10"/>
  <c r="N472" i="10" s="1"/>
  <c r="P472" i="10"/>
  <c r="L472" i="10"/>
  <c r="L470" i="10" s="1"/>
  <c r="P471" i="10"/>
  <c r="O471" i="10"/>
  <c r="M470" i="10"/>
  <c r="P470" i="10" s="1"/>
  <c r="P469" i="10"/>
  <c r="M469" i="10"/>
  <c r="O468" i="10"/>
  <c r="N468" i="10"/>
  <c r="M468" i="10"/>
  <c r="L468" i="10"/>
  <c r="J466" i="10"/>
  <c r="I466" i="10"/>
  <c r="J465" i="10"/>
  <c r="I465" i="10"/>
  <c r="K465" i="10" s="1"/>
  <c r="I464" i="10"/>
  <c r="I463" i="10"/>
  <c r="I462" i="10"/>
  <c r="K462" i="10" s="1"/>
  <c r="I460" i="10"/>
  <c r="K458" i="10"/>
  <c r="P456" i="10"/>
  <c r="L456" i="10"/>
  <c r="O456" i="10" s="1"/>
  <c r="P455" i="10"/>
  <c r="O455" i="10"/>
  <c r="N454" i="10"/>
  <c r="M454" i="10"/>
  <c r="P454" i="10" s="1"/>
  <c r="P449" i="10"/>
  <c r="N449" i="10"/>
  <c r="N446" i="10" s="1"/>
  <c r="L449" i="10"/>
  <c r="O449" i="10" s="1"/>
  <c r="P448" i="10"/>
  <c r="O448" i="10"/>
  <c r="P447" i="10"/>
  <c r="N447" i="10"/>
  <c r="M447" i="10"/>
  <c r="M446" i="10"/>
  <c r="P446" i="10" s="1"/>
  <c r="P445" i="10"/>
  <c r="N445" i="10"/>
  <c r="N444" i="10" s="1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K438" i="10" s="1"/>
  <c r="I437" i="10"/>
  <c r="K437" i="10" s="1"/>
  <c r="I435" i="10"/>
  <c r="J434" i="10"/>
  <c r="P431" i="10"/>
  <c r="L431" i="10"/>
  <c r="O431" i="10" s="1"/>
  <c r="P430" i="10"/>
  <c r="O430" i="10"/>
  <c r="N429" i="10"/>
  <c r="M429" i="10"/>
  <c r="P429" i="10" s="1"/>
  <c r="P424" i="10"/>
  <c r="N424" i="10"/>
  <c r="N421" i="10" s="1"/>
  <c r="L424" i="10"/>
  <c r="O424" i="10" s="1"/>
  <c r="P423" i="10"/>
  <c r="O423" i="10"/>
  <c r="P422" i="10"/>
  <c r="N422" i="10"/>
  <c r="M422" i="10"/>
  <c r="L422" i="10"/>
  <c r="M421" i="10"/>
  <c r="P421" i="10" s="1"/>
  <c r="P420" i="10"/>
  <c r="N420" i="10"/>
  <c r="N419" i="10" s="1"/>
  <c r="M420" i="10"/>
  <c r="L420" i="10"/>
  <c r="J418" i="10"/>
  <c r="K413" i="10"/>
  <c r="K412" i="10"/>
  <c r="N410" i="10"/>
  <c r="N408" i="10" s="1"/>
  <c r="M410" i="10"/>
  <c r="L410" i="10"/>
  <c r="L408" i="10" s="1"/>
  <c r="O408" i="10" s="1"/>
  <c r="P409" i="10"/>
  <c r="O409" i="10"/>
  <c r="N407" i="10"/>
  <c r="N405" i="10" s="1"/>
  <c r="M407" i="10"/>
  <c r="L407" i="10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M397" i="10"/>
  <c r="L397" i="10"/>
  <c r="O397" i="10" s="1"/>
  <c r="P396" i="10"/>
  <c r="O396" i="10"/>
  <c r="N394" i="10"/>
  <c r="N392" i="10" s="1"/>
  <c r="M394" i="10"/>
  <c r="L394" i="10"/>
  <c r="L392" i="10" s="1"/>
  <c r="O392" i="10" s="1"/>
  <c r="P393" i="10"/>
  <c r="O393" i="10"/>
  <c r="P390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L353" i="10"/>
  <c r="P352" i="10"/>
  <c r="O352" i="10"/>
  <c r="N350" i="10"/>
  <c r="M350" i="10"/>
  <c r="L350" i="10"/>
  <c r="L348" i="10" s="1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N331" i="10" s="1"/>
  <c r="M333" i="10"/>
  <c r="L333" i="10"/>
  <c r="L331" i="10" s="1"/>
  <c r="P332" i="10"/>
  <c r="O332" i="10"/>
  <c r="P329" i="10"/>
  <c r="N329" i="10"/>
  <c r="M329" i="10"/>
  <c r="L329" i="10"/>
  <c r="I327" i="10"/>
  <c r="I325" i="10"/>
  <c r="K325" i="10" s="1"/>
  <c r="N323" i="10"/>
  <c r="N321" i="10" s="1"/>
  <c r="M323" i="10"/>
  <c r="L323" i="10"/>
  <c r="L321" i="10" s="1"/>
  <c r="O321" i="10" s="1"/>
  <c r="P322" i="10"/>
  <c r="O322" i="10"/>
  <c r="N320" i="10"/>
  <c r="M320" i="10"/>
  <c r="L320" i="10"/>
  <c r="P319" i="10"/>
  <c r="O319" i="10"/>
  <c r="N316" i="10"/>
  <c r="M316" i="10"/>
  <c r="L316" i="10"/>
  <c r="O316" i="10" s="1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O306" i="10" s="1"/>
  <c r="P305" i="10"/>
  <c r="O305" i="10"/>
  <c r="N303" i="10"/>
  <c r="N301" i="10" s="1"/>
  <c r="M303" i="10"/>
  <c r="L303" i="10"/>
  <c r="P302" i="10"/>
  <c r="O302" i="10"/>
  <c r="P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J275" i="10" s="1"/>
  <c r="I287" i="10"/>
  <c r="I276" i="10" s="1"/>
  <c r="N285" i="10"/>
  <c r="N283" i="10" s="1"/>
  <c r="M285" i="10"/>
  <c r="L285" i="10"/>
  <c r="L283" i="10" s="1"/>
  <c r="O283" i="10" s="1"/>
  <c r="P284" i="10"/>
  <c r="O284" i="10"/>
  <c r="N282" i="10"/>
  <c r="N280" i="10" s="1"/>
  <c r="M282" i="10"/>
  <c r="L282" i="10"/>
  <c r="L280" i="10" s="1"/>
  <c r="P281" i="10"/>
  <c r="O281" i="10"/>
  <c r="O278" i="10"/>
  <c r="N278" i="10"/>
  <c r="M278" i="10"/>
  <c r="L278" i="10"/>
  <c r="J276" i="10"/>
  <c r="I271" i="10"/>
  <c r="K271" i="10" s="1"/>
  <c r="N269" i="10"/>
  <c r="N267" i="10" s="1"/>
  <c r="M269" i="10"/>
  <c r="L269" i="10"/>
  <c r="O269" i="10" s="1"/>
  <c r="P268" i="10"/>
  <c r="O268" i="10"/>
  <c r="N266" i="10"/>
  <c r="N264" i="10" s="1"/>
  <c r="M266" i="10"/>
  <c r="L266" i="10"/>
  <c r="P265" i="10"/>
  <c r="O265" i="10"/>
  <c r="P262" i="10"/>
  <c r="N262" i="10"/>
  <c r="M262" i="10"/>
  <c r="L262" i="10"/>
  <c r="J260" i="10"/>
  <c r="K258" i="10"/>
  <c r="K257" i="10"/>
  <c r="I255" i="10"/>
  <c r="L253" i="10"/>
  <c r="L252" i="10"/>
  <c r="L251" i="10"/>
  <c r="L250" i="10"/>
  <c r="P249" i="10"/>
  <c r="N249" i="10"/>
  <c r="J248" i="10"/>
  <c r="K247" i="10"/>
  <c r="K246" i="10"/>
  <c r="I244" i="10"/>
  <c r="I237" i="10" s="1"/>
  <c r="K237" i="10" s="1"/>
  <c r="L242" i="10"/>
  <c r="L241" i="10"/>
  <c r="L240" i="10"/>
  <c r="L239" i="10"/>
  <c r="P238" i="10"/>
  <c r="N238" i="10"/>
  <c r="N227" i="10" s="1"/>
  <c r="J237" i="10"/>
  <c r="J226" i="10" s="1"/>
  <c r="J180" i="10" s="1"/>
  <c r="J236" i="10"/>
  <c r="I236" i="10"/>
  <c r="K236" i="10" s="1"/>
  <c r="K235" i="10"/>
  <c r="J235" i="10"/>
  <c r="I235" i="10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L189" i="10"/>
  <c r="L187" i="10" s="1"/>
  <c r="O187" i="10" s="1"/>
  <c r="P188" i="10"/>
  <c r="O188" i="10"/>
  <c r="N186" i="10"/>
  <c r="M186" i="10"/>
  <c r="L186" i="10"/>
  <c r="L184" i="10" s="1"/>
  <c r="P185" i="10"/>
  <c r="O185" i="10"/>
  <c r="P182" i="10"/>
  <c r="N182" i="10"/>
  <c r="M182" i="10"/>
  <c r="L182" i="10"/>
  <c r="J177" i="10"/>
  <c r="J164" i="10" s="1"/>
  <c r="I176" i="10"/>
  <c r="J174" i="10"/>
  <c r="N173" i="10"/>
  <c r="N171" i="10" s="1"/>
  <c r="M173" i="10"/>
  <c r="L173" i="10"/>
  <c r="P172" i="10"/>
  <c r="O172" i="10"/>
  <c r="N170" i="10"/>
  <c r="N168" i="10" s="1"/>
  <c r="M170" i="10"/>
  <c r="L170" i="10"/>
  <c r="L168" i="10" s="1"/>
  <c r="P169" i="10"/>
  <c r="O169" i="10"/>
  <c r="P166" i="10"/>
  <c r="N166" i="10"/>
  <c r="M166" i="10"/>
  <c r="L166" i="10"/>
  <c r="I159" i="10"/>
  <c r="K159" i="10" s="1"/>
  <c r="N157" i="10"/>
  <c r="N155" i="10" s="1"/>
  <c r="M157" i="10"/>
  <c r="L157" i="10"/>
  <c r="O157" i="10" s="1"/>
  <c r="P156" i="10"/>
  <c r="O156" i="10"/>
  <c r="N154" i="10"/>
  <c r="N152" i="10" s="1"/>
  <c r="M154" i="10"/>
  <c r="L154" i="10"/>
  <c r="O154" i="10" s="1"/>
  <c r="P153" i="10"/>
  <c r="O153" i="10"/>
  <c r="P150" i="10"/>
  <c r="N150" i="10"/>
  <c r="M150" i="10"/>
  <c r="L150" i="10"/>
  <c r="J148" i="10"/>
  <c r="I146" i="10"/>
  <c r="K146" i="10" s="1"/>
  <c r="I145" i="10"/>
  <c r="I144" i="10"/>
  <c r="K144" i="10" s="1"/>
  <c r="N140" i="10"/>
  <c r="N138" i="10" s="1"/>
  <c r="M140" i="10"/>
  <c r="M138" i="10" s="1"/>
  <c r="L140" i="10"/>
  <c r="P139" i="10"/>
  <c r="O139" i="10"/>
  <c r="N137" i="10"/>
  <c r="N135" i="10" s="1"/>
  <c r="M137" i="10"/>
  <c r="L137" i="10"/>
  <c r="P136" i="10"/>
  <c r="O136" i="10"/>
  <c r="O133" i="10"/>
  <c r="N133" i="10"/>
  <c r="M133" i="10"/>
  <c r="L133" i="10"/>
  <c r="J130" i="10"/>
  <c r="N127" i="10"/>
  <c r="M127" i="10"/>
  <c r="L127" i="10"/>
  <c r="O127" i="10" s="1"/>
  <c r="P126" i="10"/>
  <c r="O126" i="10"/>
  <c r="N124" i="10"/>
  <c r="N122" i="10" s="1"/>
  <c r="M124" i="10"/>
  <c r="L124" i="10"/>
  <c r="O124" i="10" s="1"/>
  <c r="P123" i="10"/>
  <c r="O123" i="10"/>
  <c r="P120" i="10"/>
  <c r="N120" i="10"/>
  <c r="M120" i="10"/>
  <c r="L120" i="10"/>
  <c r="I116" i="10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J98" i="10"/>
  <c r="I98" i="10"/>
  <c r="I86" i="10" s="1"/>
  <c r="N96" i="10"/>
  <c r="M96" i="10"/>
  <c r="L96" i="10"/>
  <c r="O96" i="10" s="1"/>
  <c r="P95" i="10"/>
  <c r="O95" i="10"/>
  <c r="N93" i="10"/>
  <c r="N91" i="10" s="1"/>
  <c r="M93" i="10"/>
  <c r="L93" i="10"/>
  <c r="P92" i="10"/>
  <c r="O92" i="10"/>
  <c r="P89" i="10"/>
  <c r="N89" i="10"/>
  <c r="M89" i="10"/>
  <c r="L89" i="10"/>
  <c r="J86" i="10"/>
  <c r="I84" i="10"/>
  <c r="K84" i="10" s="1"/>
  <c r="I83" i="10"/>
  <c r="K83" i="10" s="1"/>
  <c r="I82" i="10"/>
  <c r="K82" i="10" s="1"/>
  <c r="I81" i="10"/>
  <c r="K81" i="10" s="1"/>
  <c r="I80" i="10"/>
  <c r="I79" i="10"/>
  <c r="K79" i="10" s="1"/>
  <c r="I78" i="10"/>
  <c r="K78" i="10" s="1"/>
  <c r="J77" i="10"/>
  <c r="J76" i="10"/>
  <c r="J64" i="10" s="1"/>
  <c r="N74" i="10"/>
  <c r="N72" i="10" s="1"/>
  <c r="M74" i="10"/>
  <c r="P74" i="10" s="1"/>
  <c r="L74" i="10"/>
  <c r="P73" i="10"/>
  <c r="O73" i="10"/>
  <c r="N71" i="10"/>
  <c r="N69" i="10" s="1"/>
  <c r="M71" i="10"/>
  <c r="L71" i="10"/>
  <c r="P70" i="10"/>
  <c r="O70" i="10"/>
  <c r="O67" i="10"/>
  <c r="N67" i="10"/>
  <c r="M67" i="10"/>
  <c r="L67" i="10"/>
  <c r="J65" i="10"/>
  <c r="N61" i="10"/>
  <c r="N59" i="10" s="1"/>
  <c r="M61" i="10"/>
  <c r="L61" i="10"/>
  <c r="O61" i="10" s="1"/>
  <c r="P60" i="10"/>
  <c r="O60" i="10"/>
  <c r="N58" i="10"/>
  <c r="M58" i="10"/>
  <c r="L58" i="10"/>
  <c r="L56" i="10" s="1"/>
  <c r="P57" i="10"/>
  <c r="O57" i="10"/>
  <c r="P54" i="10"/>
  <c r="N54" i="10"/>
  <c r="M54" i="10"/>
  <c r="L54" i="10"/>
  <c r="N49" i="10"/>
  <c r="N47" i="10" s="1"/>
  <c r="M49" i="10"/>
  <c r="P49" i="10" s="1"/>
  <c r="L49" i="10"/>
  <c r="P48" i="10"/>
  <c r="O48" i="10"/>
  <c r="N46" i="10"/>
  <c r="N44" i="10" s="1"/>
  <c r="M46" i="10"/>
  <c r="L46" i="10"/>
  <c r="P45" i="10"/>
  <c r="O45" i="10"/>
  <c r="O42" i="10"/>
  <c r="N42" i="10"/>
  <c r="M42" i="10"/>
  <c r="L42" i="10"/>
  <c r="P36" i="10"/>
  <c r="N36" i="10"/>
  <c r="M36" i="10"/>
  <c r="O35" i="10"/>
  <c r="N35" i="10"/>
  <c r="M35" i="10"/>
  <c r="L35" i="10"/>
  <c r="N34" i="10"/>
  <c r="N33" i="10"/>
  <c r="N30" i="10" s="1"/>
  <c r="M33" i="10"/>
  <c r="P32" i="10"/>
  <c r="N32" i="10"/>
  <c r="M32" i="10"/>
  <c r="L32" i="10"/>
  <c r="M31" i="10"/>
  <c r="P31" i="10" s="1"/>
  <c r="M29" i="10"/>
  <c r="P29" i="10" s="1"/>
  <c r="O25" i="10"/>
  <c r="N25" i="10"/>
  <c r="M25" i="10"/>
  <c r="P25" i="10" s="1"/>
  <c r="L25" i="10"/>
  <c r="P22" i="10"/>
  <c r="N22" i="10"/>
  <c r="N19" i="10" s="1"/>
  <c r="M22" i="10"/>
  <c r="L22" i="10"/>
  <c r="O22" i="10" s="1"/>
  <c r="M19" i="10"/>
  <c r="P19" i="10" s="1"/>
  <c r="N15" i="10"/>
  <c r="L15" i="10"/>
  <c r="O15" i="10" s="1"/>
  <c r="M12" i="10"/>
  <c r="P12" i="10" s="1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P809" i="9"/>
  <c r="O809" i="9"/>
  <c r="P808" i="9"/>
  <c r="O808" i="9"/>
  <c r="N808" i="9"/>
  <c r="M808" i="9"/>
  <c r="L808" i="9"/>
  <c r="O807" i="9"/>
  <c r="N807" i="9"/>
  <c r="M807" i="9"/>
  <c r="P807" i="9" s="1"/>
  <c r="L807" i="9"/>
  <c r="N806" i="9"/>
  <c r="M806" i="9"/>
  <c r="L806" i="9"/>
  <c r="O806" i="9" s="1"/>
  <c r="L805" i="9"/>
  <c r="O805" i="9" s="1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L791" i="9"/>
  <c r="O791" i="9" s="1"/>
  <c r="P790" i="9"/>
  <c r="O790" i="9"/>
  <c r="P789" i="9"/>
  <c r="N789" i="9"/>
  <c r="M789" i="9"/>
  <c r="N788" i="9"/>
  <c r="N786" i="9" s="1"/>
  <c r="M788" i="9"/>
  <c r="P788" i="9" s="1"/>
  <c r="N787" i="9"/>
  <c r="M787" i="9"/>
  <c r="L787" i="9"/>
  <c r="O787" i="9" s="1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P772" i="9"/>
  <c r="O772" i="9"/>
  <c r="N772" i="9"/>
  <c r="M772" i="9"/>
  <c r="L772" i="9"/>
  <c r="O771" i="9"/>
  <c r="N771" i="9"/>
  <c r="N770" i="9" s="1"/>
  <c r="M771" i="9"/>
  <c r="P771" i="9" s="1"/>
  <c r="L771" i="9"/>
  <c r="M770" i="9"/>
  <c r="P770" i="9" s="1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N757" i="9" s="1"/>
  <c r="P758" i="9"/>
  <c r="O758" i="9"/>
  <c r="P757" i="9"/>
  <c r="O757" i="9"/>
  <c r="M757" i="9"/>
  <c r="L757" i="9"/>
  <c r="P756" i="9"/>
  <c r="O756" i="9"/>
  <c r="N756" i="9"/>
  <c r="M756" i="9"/>
  <c r="L756" i="9"/>
  <c r="O755" i="9"/>
  <c r="N755" i="9"/>
  <c r="N754" i="9" s="1"/>
  <c r="M755" i="9"/>
  <c r="L755" i="9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P739" i="9"/>
  <c r="O739" i="9"/>
  <c r="N739" i="9"/>
  <c r="M739" i="9"/>
  <c r="L739" i="9"/>
  <c r="O738" i="9"/>
  <c r="N738" i="9"/>
  <c r="M738" i="9"/>
  <c r="P738" i="9" s="1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O690" i="9" s="1"/>
  <c r="N688" i="9"/>
  <c r="M688" i="9"/>
  <c r="P688" i="9" s="1"/>
  <c r="P687" i="9"/>
  <c r="N687" i="9"/>
  <c r="M687" i="9"/>
  <c r="O686" i="9"/>
  <c r="N686" i="9"/>
  <c r="M686" i="9"/>
  <c r="L686" i="9"/>
  <c r="N685" i="9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M657" i="9"/>
  <c r="P656" i="9"/>
  <c r="N656" i="9"/>
  <c r="M656" i="9"/>
  <c r="L656" i="9"/>
  <c r="N655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P634" i="9"/>
  <c r="N634" i="9"/>
  <c r="L634" i="9"/>
  <c r="P633" i="9"/>
  <c r="O633" i="9"/>
  <c r="M632" i="9"/>
  <c r="P632" i="9" s="1"/>
  <c r="M631" i="9"/>
  <c r="P630" i="9"/>
  <c r="N630" i="9"/>
  <c r="M630" i="9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5" i="9"/>
  <c r="J594" i="9"/>
  <c r="I594" i="9"/>
  <c r="K594" i="9" s="1"/>
  <c r="I593" i="9"/>
  <c r="I592" i="9" s="1"/>
  <c r="J583" i="9"/>
  <c r="J582" i="9"/>
  <c r="J577" i="9"/>
  <c r="I577" i="9"/>
  <c r="J576" i="9"/>
  <c r="J559" i="9" s="1"/>
  <c r="I576" i="9"/>
  <c r="I559" i="9" s="1"/>
  <c r="I543" i="9" s="1"/>
  <c r="J569" i="9"/>
  <c r="I569" i="9"/>
  <c r="K569" i="9" s="1"/>
  <c r="J568" i="9"/>
  <c r="I568" i="9"/>
  <c r="K568" i="9" s="1"/>
  <c r="J561" i="9"/>
  <c r="I561" i="9"/>
  <c r="J560" i="9"/>
  <c r="I560" i="9"/>
  <c r="P557" i="9"/>
  <c r="L557" i="9"/>
  <c r="O557" i="9" s="1"/>
  <c r="P556" i="9"/>
  <c r="O556" i="9"/>
  <c r="N555" i="9"/>
  <c r="N545" i="9" s="1"/>
  <c r="N544" i="9" s="1"/>
  <c r="M555" i="9"/>
  <c r="P555" i="9" s="1"/>
  <c r="P549" i="9"/>
  <c r="N549" i="9"/>
  <c r="N546" i="9" s="1"/>
  <c r="L549" i="9"/>
  <c r="P548" i="9"/>
  <c r="O548" i="9"/>
  <c r="P547" i="9"/>
  <c r="N547" i="9"/>
  <c r="M547" i="9"/>
  <c r="P546" i="9"/>
  <c r="M546" i="9"/>
  <c r="P545" i="9"/>
  <c r="O545" i="9"/>
  <c r="M545" i="9"/>
  <c r="L545" i="9"/>
  <c r="P544" i="9"/>
  <c r="M544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I522" i="9" s="1"/>
  <c r="K522" i="9" s="1"/>
  <c r="P535" i="9"/>
  <c r="L535" i="9"/>
  <c r="O535" i="9" s="1"/>
  <c r="P534" i="9"/>
  <c r="O534" i="9"/>
  <c r="P533" i="9"/>
  <c r="N533" i="9"/>
  <c r="M533" i="9"/>
  <c r="P528" i="9"/>
  <c r="N528" i="9"/>
  <c r="N526" i="9" s="1"/>
  <c r="L528" i="9"/>
  <c r="P527" i="9"/>
  <c r="O527" i="9"/>
  <c r="M526" i="9"/>
  <c r="P526" i="9" s="1"/>
  <c r="P525" i="9"/>
  <c r="N525" i="9"/>
  <c r="N523" i="9" s="1"/>
  <c r="M525" i="9"/>
  <c r="N524" i="9"/>
  <c r="M524" i="9"/>
  <c r="L524" i="9"/>
  <c r="K517" i="9"/>
  <c r="J517" i="9"/>
  <c r="K516" i="9"/>
  <c r="P514" i="9"/>
  <c r="O514" i="9"/>
  <c r="P513" i="9"/>
  <c r="O513" i="9"/>
  <c r="O512" i="9"/>
  <c r="N512" i="9"/>
  <c r="M512" i="9"/>
  <c r="P512" i="9" s="1"/>
  <c r="L512" i="9"/>
  <c r="P507" i="9"/>
  <c r="O507" i="9"/>
  <c r="N507" i="9"/>
  <c r="N505" i="9" s="1"/>
  <c r="P506" i="9"/>
  <c r="O506" i="9"/>
  <c r="M505" i="9"/>
  <c r="P505" i="9" s="1"/>
  <c r="L505" i="9"/>
  <c r="O505" i="9" s="1"/>
  <c r="N504" i="9"/>
  <c r="N502" i="9" s="1"/>
  <c r="M504" i="9"/>
  <c r="P504" i="9" s="1"/>
  <c r="L504" i="9"/>
  <c r="O504" i="9" s="1"/>
  <c r="N503" i="9"/>
  <c r="M503" i="9"/>
  <c r="L503" i="9"/>
  <c r="O503" i="9" s="1"/>
  <c r="L502" i="9"/>
  <c r="O502" i="9" s="1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O472" i="9" s="1"/>
  <c r="P471" i="9"/>
  <c r="O471" i="9"/>
  <c r="N470" i="9"/>
  <c r="M470" i="9"/>
  <c r="P470" i="9" s="1"/>
  <c r="N469" i="9"/>
  <c r="N467" i="9" s="1"/>
  <c r="M469" i="9"/>
  <c r="P469" i="9" s="1"/>
  <c r="N468" i="9"/>
  <c r="M468" i="9"/>
  <c r="M467" i="9" s="1"/>
  <c r="L468" i="9"/>
  <c r="O468" i="9" s="1"/>
  <c r="P467" i="9"/>
  <c r="J466" i="9"/>
  <c r="I466" i="9"/>
  <c r="J465" i="9"/>
  <c r="I465" i="9"/>
  <c r="K465" i="9" s="1"/>
  <c r="I464" i="9"/>
  <c r="I463" i="9"/>
  <c r="I462" i="9"/>
  <c r="K462" i="9" s="1"/>
  <c r="I460" i="9"/>
  <c r="K458" i="9"/>
  <c r="P456" i="9"/>
  <c r="L456" i="9"/>
  <c r="O456" i="9" s="1"/>
  <c r="P455" i="9"/>
  <c r="O455" i="9"/>
  <c r="N454" i="9"/>
  <c r="M454" i="9"/>
  <c r="P454" i="9" s="1"/>
  <c r="P449" i="9"/>
  <c r="N449" i="9"/>
  <c r="L449" i="9"/>
  <c r="P448" i="9"/>
  <c r="O448" i="9"/>
  <c r="M447" i="9"/>
  <c r="P447" i="9" s="1"/>
  <c r="M446" i="9"/>
  <c r="P445" i="9"/>
  <c r="N445" i="9"/>
  <c r="M445" i="9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P431" i="9"/>
  <c r="L431" i="9"/>
  <c r="O431" i="9" s="1"/>
  <c r="P430" i="9"/>
  <c r="O430" i="9"/>
  <c r="N429" i="9"/>
  <c r="M429" i="9"/>
  <c r="P429" i="9" s="1"/>
  <c r="P424" i="9"/>
  <c r="N424" i="9"/>
  <c r="L424" i="9"/>
  <c r="P423" i="9"/>
  <c r="O423" i="9"/>
  <c r="P422" i="9"/>
  <c r="M422" i="9"/>
  <c r="M421" i="9"/>
  <c r="P421" i="9" s="1"/>
  <c r="P420" i="9"/>
  <c r="N420" i="9"/>
  <c r="M420" i="9"/>
  <c r="L420" i="9"/>
  <c r="J418" i="9"/>
  <c r="K413" i="9"/>
  <c r="K412" i="9"/>
  <c r="N410" i="9"/>
  <c r="N408" i="9" s="1"/>
  <c r="M410" i="9"/>
  <c r="L410" i="9"/>
  <c r="O410" i="9" s="1"/>
  <c r="P409" i="9"/>
  <c r="O409" i="9"/>
  <c r="N407" i="9"/>
  <c r="N405" i="9" s="1"/>
  <c r="M407" i="9"/>
  <c r="M405" i="9" s="1"/>
  <c r="P405" i="9" s="1"/>
  <c r="L407" i="9"/>
  <c r="L405" i="9" s="1"/>
  <c r="O405" i="9" s="1"/>
  <c r="P406" i="9"/>
  <c r="O406" i="9"/>
  <c r="P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L395" i="9" s="1"/>
  <c r="O395" i="9" s="1"/>
  <c r="P396" i="9"/>
  <c r="O396" i="9"/>
  <c r="N394" i="9"/>
  <c r="N392" i="9" s="1"/>
  <c r="M394" i="9"/>
  <c r="P394" i="9" s="1"/>
  <c r="L394" i="9"/>
  <c r="P393" i="9"/>
  <c r="O393" i="9"/>
  <c r="P390" i="9"/>
  <c r="N390" i="9"/>
  <c r="M390" i="9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P352" i="9"/>
  <c r="O352" i="9"/>
  <c r="N350" i="9"/>
  <c r="N348" i="9" s="1"/>
  <c r="M350" i="9"/>
  <c r="L350" i="9"/>
  <c r="L348" i="9" s="1"/>
  <c r="P349" i="9"/>
  <c r="O349" i="9"/>
  <c r="N346" i="9"/>
  <c r="M346" i="9"/>
  <c r="P346" i="9" s="1"/>
  <c r="L346" i="9"/>
  <c r="J343" i="9"/>
  <c r="J342" i="9"/>
  <c r="J341" i="9"/>
  <c r="J340" i="9"/>
  <c r="I340" i="9"/>
  <c r="J338" i="9"/>
  <c r="I338" i="9"/>
  <c r="N336" i="9"/>
  <c r="M336" i="9"/>
  <c r="P336" i="9" s="1"/>
  <c r="L336" i="9"/>
  <c r="L334" i="9" s="1"/>
  <c r="O334" i="9" s="1"/>
  <c r="P335" i="9"/>
  <c r="O335" i="9"/>
  <c r="N333" i="9"/>
  <c r="N331" i="9" s="1"/>
  <c r="M333" i="9"/>
  <c r="L333" i="9"/>
  <c r="P332" i="9"/>
  <c r="O332" i="9"/>
  <c r="N329" i="9"/>
  <c r="M329" i="9"/>
  <c r="P329" i="9" s="1"/>
  <c r="L329" i="9"/>
  <c r="I327" i="9"/>
  <c r="I325" i="9"/>
  <c r="N323" i="9"/>
  <c r="N321" i="9" s="1"/>
  <c r="M323" i="9"/>
  <c r="P323" i="9" s="1"/>
  <c r="L323" i="9"/>
  <c r="L321" i="9" s="1"/>
  <c r="O321" i="9" s="1"/>
  <c r="P322" i="9"/>
  <c r="O322" i="9"/>
  <c r="N320" i="9"/>
  <c r="N318" i="9" s="1"/>
  <c r="M320" i="9"/>
  <c r="P320" i="9" s="1"/>
  <c r="L320" i="9"/>
  <c r="O320" i="9" s="1"/>
  <c r="P319" i="9"/>
  <c r="O319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N306" i="9"/>
  <c r="N304" i="9" s="1"/>
  <c r="M306" i="9"/>
  <c r="M304" i="9" s="1"/>
  <c r="P304" i="9" s="1"/>
  <c r="L306" i="9"/>
  <c r="O306" i="9" s="1"/>
  <c r="P305" i="9"/>
  <c r="O305" i="9"/>
  <c r="N303" i="9"/>
  <c r="M303" i="9"/>
  <c r="L303" i="9"/>
  <c r="O303" i="9" s="1"/>
  <c r="P302" i="9"/>
  <c r="O302" i="9"/>
  <c r="N299" i="9"/>
  <c r="M299" i="9"/>
  <c r="P299" i="9" s="1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K287" i="9" s="1"/>
  <c r="N285" i="9"/>
  <c r="N283" i="9" s="1"/>
  <c r="M285" i="9"/>
  <c r="M283" i="9" s="1"/>
  <c r="P283" i="9" s="1"/>
  <c r="L285" i="9"/>
  <c r="L283" i="9" s="1"/>
  <c r="O283" i="9" s="1"/>
  <c r="P284" i="9"/>
  <c r="O284" i="9"/>
  <c r="N282" i="9"/>
  <c r="N280" i="9" s="1"/>
  <c r="M282" i="9"/>
  <c r="P282" i="9" s="1"/>
  <c r="L282" i="9"/>
  <c r="L280" i="9" s="1"/>
  <c r="O280" i="9" s="1"/>
  <c r="P281" i="9"/>
  <c r="O281" i="9"/>
  <c r="O278" i="9"/>
  <c r="N278" i="9"/>
  <c r="M278" i="9"/>
  <c r="P278" i="9" s="1"/>
  <c r="L278" i="9"/>
  <c r="J276" i="9"/>
  <c r="I271" i="9"/>
  <c r="K271" i="9" s="1"/>
  <c r="N269" i="9"/>
  <c r="N267" i="9" s="1"/>
  <c r="M269" i="9"/>
  <c r="L269" i="9"/>
  <c r="O269" i="9" s="1"/>
  <c r="P268" i="9"/>
  <c r="O268" i="9"/>
  <c r="N266" i="9"/>
  <c r="N264" i="9" s="1"/>
  <c r="M266" i="9"/>
  <c r="L266" i="9"/>
  <c r="L264" i="9" s="1"/>
  <c r="P265" i="9"/>
  <c r="O265" i="9"/>
  <c r="N262" i="9"/>
  <c r="M262" i="9"/>
  <c r="P262" i="9" s="1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K244" i="9" s="1"/>
  <c r="L242" i="9"/>
  <c r="L241" i="9"/>
  <c r="L240" i="9"/>
  <c r="L239" i="9"/>
  <c r="P238" i="9"/>
  <c r="N238" i="9"/>
  <c r="N227" i="9" s="1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I225" i="9"/>
  <c r="K225" i="9" s="1"/>
  <c r="I224" i="9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M186" i="9"/>
  <c r="M184" i="9" s="1"/>
  <c r="L186" i="9"/>
  <c r="P185" i="9"/>
  <c r="O185" i="9"/>
  <c r="P182" i="9"/>
  <c r="N182" i="9"/>
  <c r="M182" i="9"/>
  <c r="L182" i="9"/>
  <c r="J177" i="9"/>
  <c r="I176" i="9"/>
  <c r="I174" i="9" s="1"/>
  <c r="J174" i="9"/>
  <c r="N173" i="9"/>
  <c r="N171" i="9" s="1"/>
  <c r="M173" i="9"/>
  <c r="P173" i="9" s="1"/>
  <c r="L173" i="9"/>
  <c r="O173" i="9" s="1"/>
  <c r="P172" i="9"/>
  <c r="O172" i="9"/>
  <c r="N170" i="9"/>
  <c r="M170" i="9"/>
  <c r="M168" i="9" s="1"/>
  <c r="L170" i="9"/>
  <c r="L168" i="9" s="1"/>
  <c r="P169" i="9"/>
  <c r="O169" i="9"/>
  <c r="P166" i="9"/>
  <c r="N166" i="9"/>
  <c r="M166" i="9"/>
  <c r="L166" i="9"/>
  <c r="J164" i="9"/>
  <c r="I159" i="9"/>
  <c r="K159" i="9" s="1"/>
  <c r="N157" i="9"/>
  <c r="N155" i="9" s="1"/>
  <c r="M157" i="9"/>
  <c r="L157" i="9"/>
  <c r="O157" i="9" s="1"/>
  <c r="P156" i="9"/>
  <c r="O156" i="9"/>
  <c r="N154" i="9"/>
  <c r="N152" i="9" s="1"/>
  <c r="M154" i="9"/>
  <c r="L154" i="9"/>
  <c r="O154" i="9" s="1"/>
  <c r="P153" i="9"/>
  <c r="O153" i="9"/>
  <c r="N150" i="9"/>
  <c r="M150" i="9"/>
  <c r="L150" i="9"/>
  <c r="O150" i="9" s="1"/>
  <c r="J148" i="9"/>
  <c r="I146" i="9"/>
  <c r="K146" i="9" s="1"/>
  <c r="I145" i="9"/>
  <c r="K145" i="9" s="1"/>
  <c r="I144" i="9"/>
  <c r="K144" i="9" s="1"/>
  <c r="N140" i="9"/>
  <c r="N138" i="9" s="1"/>
  <c r="M140" i="9"/>
  <c r="L140" i="9"/>
  <c r="P139" i="9"/>
  <c r="O139" i="9"/>
  <c r="N137" i="9"/>
  <c r="M137" i="9"/>
  <c r="M135" i="9" s="1"/>
  <c r="L137" i="9"/>
  <c r="P136" i="9"/>
  <c r="O136" i="9"/>
  <c r="P133" i="9"/>
  <c r="O133" i="9"/>
  <c r="N133" i="9"/>
  <c r="M133" i="9"/>
  <c r="L133" i="9"/>
  <c r="J130" i="9"/>
  <c r="N127" i="9"/>
  <c r="N125" i="9" s="1"/>
  <c r="M127" i="9"/>
  <c r="L127" i="9"/>
  <c r="P126" i="9"/>
  <c r="O126" i="9"/>
  <c r="N124" i="9"/>
  <c r="N122" i="9" s="1"/>
  <c r="M124" i="9"/>
  <c r="L124" i="9"/>
  <c r="O124" i="9" s="1"/>
  <c r="P123" i="9"/>
  <c r="O123" i="9"/>
  <c r="P120" i="9"/>
  <c r="N120" i="9"/>
  <c r="M120" i="9"/>
  <c r="L120" i="9"/>
  <c r="K118" i="9"/>
  <c r="J118" i="9"/>
  <c r="I116" i="9"/>
  <c r="K116" i="9" s="1"/>
  <c r="I115" i="9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K99" i="9" s="1"/>
  <c r="J98" i="9"/>
  <c r="I98" i="9"/>
  <c r="K98" i="9" s="1"/>
  <c r="N96" i="9"/>
  <c r="N94" i="9" s="1"/>
  <c r="M96" i="9"/>
  <c r="L96" i="9"/>
  <c r="L94" i="9" s="1"/>
  <c r="O94" i="9" s="1"/>
  <c r="P95" i="9"/>
  <c r="O95" i="9"/>
  <c r="N93" i="9"/>
  <c r="N91" i="9" s="1"/>
  <c r="M93" i="9"/>
  <c r="L93" i="9"/>
  <c r="P92" i="9"/>
  <c r="O92" i="9"/>
  <c r="N89" i="9"/>
  <c r="M89" i="9"/>
  <c r="L89" i="9"/>
  <c r="O89" i="9" s="1"/>
  <c r="J86" i="9"/>
  <c r="I84" i="9"/>
  <c r="K84" i="9" s="1"/>
  <c r="I83" i="9"/>
  <c r="K83" i="9" s="1"/>
  <c r="I82" i="9"/>
  <c r="I81" i="9"/>
  <c r="K81" i="9" s="1"/>
  <c r="I80" i="9"/>
  <c r="K80" i="9" s="1"/>
  <c r="I79" i="9"/>
  <c r="K79" i="9" s="1"/>
  <c r="I78" i="9"/>
  <c r="K78" i="9" s="1"/>
  <c r="J77" i="9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L71" i="9"/>
  <c r="P70" i="9"/>
  <c r="O70" i="9"/>
  <c r="P67" i="9"/>
  <c r="N67" i="9"/>
  <c r="M67" i="9"/>
  <c r="L67" i="9"/>
  <c r="J65" i="9"/>
  <c r="J64" i="9"/>
  <c r="N61" i="9"/>
  <c r="N59" i="9" s="1"/>
  <c r="M61" i="9"/>
  <c r="M59" i="9" s="1"/>
  <c r="P59" i="9" s="1"/>
  <c r="L61" i="9"/>
  <c r="L59" i="9" s="1"/>
  <c r="O59" i="9" s="1"/>
  <c r="P60" i="9"/>
  <c r="O60" i="9"/>
  <c r="N58" i="9"/>
  <c r="N56" i="9" s="1"/>
  <c r="M58" i="9"/>
  <c r="M56" i="9" s="1"/>
  <c r="L58" i="9"/>
  <c r="L56" i="9" s="1"/>
  <c r="P57" i="9"/>
  <c r="O57" i="9"/>
  <c r="O54" i="9"/>
  <c r="N54" i="9"/>
  <c r="M54" i="9"/>
  <c r="P54" i="9" s="1"/>
  <c r="L54" i="9"/>
  <c r="N49" i="9"/>
  <c r="N47" i="9" s="1"/>
  <c r="M49" i="9"/>
  <c r="L49" i="9"/>
  <c r="P48" i="9"/>
  <c r="O48" i="9"/>
  <c r="N46" i="9"/>
  <c r="N44" i="9" s="1"/>
  <c r="M46" i="9"/>
  <c r="L46" i="9"/>
  <c r="P45" i="9"/>
  <c r="O45" i="9"/>
  <c r="P42" i="9"/>
  <c r="N42" i="9"/>
  <c r="M42" i="9"/>
  <c r="L42" i="9"/>
  <c r="N36" i="9"/>
  <c r="M36" i="9"/>
  <c r="P36" i="9" s="1"/>
  <c r="N35" i="9"/>
  <c r="N34" i="9" s="1"/>
  <c r="M35" i="9"/>
  <c r="P35" i="9" s="1"/>
  <c r="L35" i="9"/>
  <c r="O35" i="9" s="1"/>
  <c r="P33" i="9"/>
  <c r="M33" i="9"/>
  <c r="P32" i="9"/>
  <c r="O32" i="9"/>
  <c r="N32" i="9"/>
  <c r="M32" i="9"/>
  <c r="L32" i="9"/>
  <c r="P31" i="9"/>
  <c r="M31" i="9"/>
  <c r="M30" i="9"/>
  <c r="P30" i="9" s="1"/>
  <c r="N29" i="9"/>
  <c r="L29" i="9"/>
  <c r="O29" i="9" s="1"/>
  <c r="P25" i="9"/>
  <c r="O25" i="9"/>
  <c r="N25" i="9"/>
  <c r="M25" i="9"/>
  <c r="L25" i="9"/>
  <c r="N22" i="9"/>
  <c r="M22" i="9"/>
  <c r="L22" i="9"/>
  <c r="O22" i="9" s="1"/>
  <c r="L15" i="9"/>
  <c r="O15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O815" i="8"/>
  <c r="N815" i="8"/>
  <c r="M815" i="8"/>
  <c r="L815" i="8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P807" i="8" s="1"/>
  <c r="L807" i="8"/>
  <c r="O807" i="8" s="1"/>
  <c r="N806" i="8"/>
  <c r="M806" i="8"/>
  <c r="P806" i="8" s="1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9" i="8" s="1"/>
  <c r="O789" i="8" s="1"/>
  <c r="P790" i="8"/>
  <c r="O790" i="8"/>
  <c r="M789" i="8"/>
  <c r="P789" i="8" s="1"/>
  <c r="M788" i="8"/>
  <c r="P787" i="8"/>
  <c r="N787" i="8"/>
  <c r="M787" i="8"/>
  <c r="L787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O773" i="8"/>
  <c r="N773" i="8"/>
  <c r="M773" i="8"/>
  <c r="P773" i="8" s="1"/>
  <c r="L773" i="8"/>
  <c r="N772" i="8"/>
  <c r="M772" i="8"/>
  <c r="P772" i="8" s="1"/>
  <c r="L772" i="8"/>
  <c r="O772" i="8" s="1"/>
  <c r="N771" i="8"/>
  <c r="N770" i="8" s="1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P758" i="8"/>
  <c r="O758" i="8"/>
  <c r="O757" i="8"/>
  <c r="N757" i="8"/>
  <c r="M757" i="8"/>
  <c r="P757" i="8" s="1"/>
  <c r="L757" i="8"/>
  <c r="N756" i="8"/>
  <c r="M756" i="8"/>
  <c r="P756" i="8" s="1"/>
  <c r="L756" i="8"/>
  <c r="O756" i="8" s="1"/>
  <c r="N755" i="8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P690" i="8"/>
  <c r="N690" i="8"/>
  <c r="N687" i="8" s="1"/>
  <c r="N685" i="8" s="1"/>
  <c r="L690" i="8"/>
  <c r="O690" i="8" s="1"/>
  <c r="N688" i="8"/>
  <c r="M688" i="8"/>
  <c r="P688" i="8" s="1"/>
  <c r="M687" i="8"/>
  <c r="P686" i="8"/>
  <c r="N686" i="8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I669" i="8"/>
  <c r="K673" i="8" s="1"/>
  <c r="P667" i="8"/>
  <c r="O667" i="8"/>
  <c r="P666" i="8"/>
  <c r="O666" i="8"/>
  <c r="N665" i="8"/>
  <c r="M665" i="8"/>
  <c r="P665" i="8" s="1"/>
  <c r="L665" i="8"/>
  <c r="O665" i="8" s="1"/>
  <c r="P660" i="8"/>
  <c r="N660" i="8"/>
  <c r="L660" i="8"/>
  <c r="L657" i="8" s="1"/>
  <c r="P659" i="8"/>
  <c r="O659" i="8"/>
  <c r="P658" i="8"/>
  <c r="N658" i="8"/>
  <c r="M658" i="8"/>
  <c r="P657" i="8"/>
  <c r="M657" i="8"/>
  <c r="M655" i="8" s="1"/>
  <c r="P655" i="8" s="1"/>
  <c r="O656" i="8"/>
  <c r="N656" i="8"/>
  <c r="M656" i="8"/>
  <c r="P656" i="8" s="1"/>
  <c r="L656" i="8"/>
  <c r="J654" i="8"/>
  <c r="K652" i="8"/>
  <c r="J652" i="8"/>
  <c r="J651" i="8"/>
  <c r="J628" i="8" s="1"/>
  <c r="I651" i="8"/>
  <c r="I628" i="8" s="1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N639" i="8"/>
  <c r="M639" i="8"/>
  <c r="P639" i="8" s="1"/>
  <c r="P634" i="8"/>
  <c r="N634" i="8"/>
  <c r="L634" i="8"/>
  <c r="P633" i="8"/>
  <c r="O633" i="8"/>
  <c r="N632" i="8"/>
  <c r="M632" i="8"/>
  <c r="P632" i="8" s="1"/>
  <c r="P631" i="8"/>
  <c r="N631" i="8"/>
  <c r="M631" i="8"/>
  <c r="P630" i="8"/>
  <c r="O630" i="8"/>
  <c r="N630" i="8"/>
  <c r="N629" i="8" s="1"/>
  <c r="M630" i="8"/>
  <c r="L630" i="8"/>
  <c r="P629" i="8"/>
  <c r="M629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5" i="8"/>
  <c r="J594" i="8"/>
  <c r="I594" i="8"/>
  <c r="K594" i="8" s="1"/>
  <c r="I593" i="8"/>
  <c r="I592" i="8" s="1"/>
  <c r="J583" i="8"/>
  <c r="J582" i="8"/>
  <c r="J577" i="8"/>
  <c r="I577" i="8"/>
  <c r="J576" i="8"/>
  <c r="I576" i="8"/>
  <c r="K576" i="8" s="1"/>
  <c r="J569" i="8"/>
  <c r="I569" i="8"/>
  <c r="K569" i="8" s="1"/>
  <c r="J568" i="8"/>
  <c r="I568" i="8"/>
  <c r="K568" i="8" s="1"/>
  <c r="J561" i="8"/>
  <c r="I561" i="8"/>
  <c r="J560" i="8"/>
  <c r="I560" i="8"/>
  <c r="J559" i="8"/>
  <c r="J543" i="8" s="1"/>
  <c r="P557" i="8"/>
  <c r="L557" i="8"/>
  <c r="L555" i="8" s="1"/>
  <c r="O555" i="8" s="1"/>
  <c r="P556" i="8"/>
  <c r="O556" i="8"/>
  <c r="P555" i="8"/>
  <c r="N555" i="8"/>
  <c r="M555" i="8"/>
  <c r="P549" i="8"/>
  <c r="N549" i="8"/>
  <c r="L549" i="8"/>
  <c r="O549" i="8" s="1"/>
  <c r="P548" i="8"/>
  <c r="O548" i="8"/>
  <c r="P547" i="8"/>
  <c r="N547" i="8"/>
  <c r="M547" i="8"/>
  <c r="N546" i="8"/>
  <c r="M546" i="8"/>
  <c r="P546" i="8" s="1"/>
  <c r="N545" i="8"/>
  <c r="N544" i="8" s="1"/>
  <c r="M545" i="8"/>
  <c r="P545" i="8" s="1"/>
  <c r="L545" i="8"/>
  <c r="O545" i="8" s="1"/>
  <c r="M544" i="8"/>
  <c r="P544" i="8" s="1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K537" i="8" s="1"/>
  <c r="P535" i="8"/>
  <c r="L535" i="8"/>
  <c r="O535" i="8" s="1"/>
  <c r="P534" i="8"/>
  <c r="O534" i="8"/>
  <c r="N533" i="8"/>
  <c r="M533" i="8"/>
  <c r="P533" i="8" s="1"/>
  <c r="P528" i="8"/>
  <c r="N528" i="8"/>
  <c r="N525" i="8" s="1"/>
  <c r="N523" i="8" s="1"/>
  <c r="L528" i="8"/>
  <c r="L526" i="8" s="1"/>
  <c r="O526" i="8" s="1"/>
  <c r="P527" i="8"/>
  <c r="O527" i="8"/>
  <c r="M526" i="8"/>
  <c r="P526" i="8" s="1"/>
  <c r="M525" i="8"/>
  <c r="P524" i="8"/>
  <c r="N524" i="8"/>
  <c r="M524" i="8"/>
  <c r="L524" i="8"/>
  <c r="K517" i="8"/>
  <c r="J517" i="8"/>
  <c r="K516" i="8"/>
  <c r="P514" i="8"/>
  <c r="O514" i="8"/>
  <c r="P513" i="8"/>
  <c r="O513" i="8"/>
  <c r="N512" i="8"/>
  <c r="M512" i="8"/>
  <c r="P512" i="8" s="1"/>
  <c r="L512" i="8"/>
  <c r="O512" i="8" s="1"/>
  <c r="P507" i="8"/>
  <c r="O507" i="8"/>
  <c r="N507" i="8"/>
  <c r="N505" i="8" s="1"/>
  <c r="P506" i="8"/>
  <c r="O506" i="8"/>
  <c r="M505" i="8"/>
  <c r="P505" i="8" s="1"/>
  <c r="L505" i="8"/>
  <c r="O505" i="8" s="1"/>
  <c r="P504" i="8"/>
  <c r="N504" i="8"/>
  <c r="N502" i="8" s="1"/>
  <c r="M504" i="8"/>
  <c r="L504" i="8"/>
  <c r="O504" i="8" s="1"/>
  <c r="P503" i="8"/>
  <c r="O503" i="8"/>
  <c r="N503" i="8"/>
  <c r="M503" i="8"/>
  <c r="M502" i="8" s="1"/>
  <c r="P502" i="8" s="1"/>
  <c r="L503" i="8"/>
  <c r="O502" i="8"/>
  <c r="L502" i="8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N477" i="8"/>
  <c r="M477" i="8"/>
  <c r="P477" i="8" s="1"/>
  <c r="P472" i="8"/>
  <c r="N472" i="8"/>
  <c r="L472" i="8"/>
  <c r="O472" i="8" s="1"/>
  <c r="P471" i="8"/>
  <c r="O471" i="8"/>
  <c r="N470" i="8"/>
  <c r="M470" i="8"/>
  <c r="P470" i="8" s="1"/>
  <c r="P469" i="8"/>
  <c r="N469" i="8"/>
  <c r="N467" i="8" s="1"/>
  <c r="M469" i="8"/>
  <c r="P468" i="8"/>
  <c r="O468" i="8"/>
  <c r="N468" i="8"/>
  <c r="M468" i="8"/>
  <c r="M467" i="8" s="1"/>
  <c r="P467" i="8" s="1"/>
  <c r="L468" i="8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L454" i="8" s="1"/>
  <c r="O454" i="8" s="1"/>
  <c r="P455" i="8"/>
  <c r="O455" i="8"/>
  <c r="N454" i="8"/>
  <c r="M454" i="8"/>
  <c r="P454" i="8" s="1"/>
  <c r="P449" i="8"/>
  <c r="N449" i="8"/>
  <c r="L449" i="8"/>
  <c r="P448" i="8"/>
  <c r="O448" i="8"/>
  <c r="N447" i="8"/>
  <c r="M447" i="8"/>
  <c r="P447" i="8" s="1"/>
  <c r="N446" i="8"/>
  <c r="M446" i="8"/>
  <c r="P446" i="8" s="1"/>
  <c r="P445" i="8"/>
  <c r="N445" i="8"/>
  <c r="N444" i="8" s="1"/>
  <c r="M445" i="8"/>
  <c r="L445" i="8"/>
  <c r="O445" i="8" s="1"/>
  <c r="P444" i="8"/>
  <c r="M444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K435" i="8" s="1"/>
  <c r="J434" i="8"/>
  <c r="J418" i="8" s="1"/>
  <c r="P431" i="8"/>
  <c r="L431" i="8"/>
  <c r="L429" i="8" s="1"/>
  <c r="O429" i="8" s="1"/>
  <c r="P430" i="8"/>
  <c r="O430" i="8"/>
  <c r="N429" i="8"/>
  <c r="M429" i="8"/>
  <c r="P429" i="8" s="1"/>
  <c r="P424" i="8"/>
  <c r="N424" i="8"/>
  <c r="L424" i="8"/>
  <c r="P423" i="8"/>
  <c r="O423" i="8"/>
  <c r="N422" i="8"/>
  <c r="M422" i="8"/>
  <c r="P422" i="8" s="1"/>
  <c r="N421" i="8"/>
  <c r="M421" i="8"/>
  <c r="P421" i="8" s="1"/>
  <c r="P420" i="8"/>
  <c r="N420" i="8"/>
  <c r="N419" i="8" s="1"/>
  <c r="M420" i="8"/>
  <c r="L420" i="8"/>
  <c r="O420" i="8" s="1"/>
  <c r="P419" i="8"/>
  <c r="M419" i="8"/>
  <c r="K413" i="8"/>
  <c r="K412" i="8"/>
  <c r="N410" i="8"/>
  <c r="N408" i="8" s="1"/>
  <c r="M410" i="8"/>
  <c r="M408" i="8" s="1"/>
  <c r="P408" i="8" s="1"/>
  <c r="L410" i="8"/>
  <c r="P409" i="8"/>
  <c r="O409" i="8"/>
  <c r="N407" i="8"/>
  <c r="N405" i="8" s="1"/>
  <c r="M407" i="8"/>
  <c r="M405" i="8" s="1"/>
  <c r="P405" i="8" s="1"/>
  <c r="L407" i="8"/>
  <c r="O407" i="8" s="1"/>
  <c r="P406" i="8"/>
  <c r="O406" i="8"/>
  <c r="O403" i="8"/>
  <c r="N403" i="8"/>
  <c r="M403" i="8"/>
  <c r="P403" i="8" s="1"/>
  <c r="L403" i="8"/>
  <c r="K401" i="8"/>
  <c r="J401" i="8"/>
  <c r="I401" i="8"/>
  <c r="K400" i="8"/>
  <c r="K399" i="8"/>
  <c r="N397" i="8"/>
  <c r="M397" i="8"/>
  <c r="P397" i="8" s="1"/>
  <c r="L397" i="8"/>
  <c r="P396" i="8"/>
  <c r="O396" i="8"/>
  <c r="N394" i="8"/>
  <c r="N392" i="8" s="1"/>
  <c r="M394" i="8"/>
  <c r="P394" i="8" s="1"/>
  <c r="L394" i="8"/>
  <c r="P393" i="8"/>
  <c r="O393" i="8"/>
  <c r="P390" i="8"/>
  <c r="O390" i="8"/>
  <c r="N390" i="8"/>
  <c r="M390" i="8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P352" i="8"/>
  <c r="O352" i="8"/>
  <c r="N350" i="8"/>
  <c r="N348" i="8" s="1"/>
  <c r="M350" i="8"/>
  <c r="L350" i="8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N331" i="8" s="1"/>
  <c r="M333" i="8"/>
  <c r="L333" i="8"/>
  <c r="P332" i="8"/>
  <c r="O332" i="8"/>
  <c r="N329" i="8"/>
  <c r="M329" i="8"/>
  <c r="P329" i="8" s="1"/>
  <c r="L329" i="8"/>
  <c r="I327" i="8"/>
  <c r="I325" i="8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O320" i="8" s="1"/>
  <c r="P319" i="8"/>
  <c r="O319" i="8"/>
  <c r="N316" i="8"/>
  <c r="M316" i="8"/>
  <c r="P316" i="8" s="1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O306" i="8" s="1"/>
  <c r="P305" i="8"/>
  <c r="O305" i="8"/>
  <c r="N303" i="8"/>
  <c r="N301" i="8" s="1"/>
  <c r="M303" i="8"/>
  <c r="M301" i="8" s="1"/>
  <c r="L303" i="8"/>
  <c r="L301" i="8" s="1"/>
  <c r="P302" i="8"/>
  <c r="O302" i="8"/>
  <c r="P299" i="8"/>
  <c r="O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N285" i="8"/>
  <c r="N283" i="8" s="1"/>
  <c r="M285" i="8"/>
  <c r="P285" i="8" s="1"/>
  <c r="L285" i="8"/>
  <c r="O285" i="8" s="1"/>
  <c r="P284" i="8"/>
  <c r="O284" i="8"/>
  <c r="N282" i="8"/>
  <c r="M282" i="8"/>
  <c r="L282" i="8"/>
  <c r="P281" i="8"/>
  <c r="O281" i="8"/>
  <c r="P278" i="8"/>
  <c r="O278" i="8"/>
  <c r="N278" i="8"/>
  <c r="M278" i="8"/>
  <c r="L278" i="8"/>
  <c r="J276" i="8"/>
  <c r="I271" i="8"/>
  <c r="N269" i="8"/>
  <c r="N267" i="8" s="1"/>
  <c r="M269" i="8"/>
  <c r="M267" i="8" s="1"/>
  <c r="P267" i="8" s="1"/>
  <c r="L269" i="8"/>
  <c r="O269" i="8" s="1"/>
  <c r="P268" i="8"/>
  <c r="O268" i="8"/>
  <c r="N266" i="8"/>
  <c r="N264" i="8" s="1"/>
  <c r="M266" i="8"/>
  <c r="M264" i="8" s="1"/>
  <c r="L266" i="8"/>
  <c r="P265" i="8"/>
  <c r="O265" i="8"/>
  <c r="O262" i="8"/>
  <c r="N262" i="8"/>
  <c r="M262" i="8"/>
  <c r="P262" i="8" s="1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K244" i="8" s="1"/>
  <c r="L242" i="8"/>
  <c r="L241" i="8"/>
  <c r="L240" i="8"/>
  <c r="L239" i="8"/>
  <c r="P238" i="8"/>
  <c r="N238" i="8"/>
  <c r="N227" i="8" s="1"/>
  <c r="J237" i="8"/>
  <c r="J236" i="8"/>
  <c r="I236" i="8"/>
  <c r="K236" i="8" s="1"/>
  <c r="K235" i="8"/>
  <c r="J235" i="8"/>
  <c r="I235" i="8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L189" i="8"/>
  <c r="L187" i="8" s="1"/>
  <c r="O187" i="8" s="1"/>
  <c r="P188" i="8"/>
  <c r="O188" i="8"/>
  <c r="N186" i="8"/>
  <c r="N184" i="8" s="1"/>
  <c r="M186" i="8"/>
  <c r="L186" i="8"/>
  <c r="L184" i="8" s="1"/>
  <c r="P185" i="8"/>
  <c r="O185" i="8"/>
  <c r="N182" i="8"/>
  <c r="M182" i="8"/>
  <c r="P182" i="8" s="1"/>
  <c r="L182" i="8"/>
  <c r="J177" i="8"/>
  <c r="J164" i="8" s="1"/>
  <c r="I176" i="8"/>
  <c r="I174" i="8" s="1"/>
  <c r="I164" i="8" s="1"/>
  <c r="K164" i="8" s="1"/>
  <c r="J174" i="8"/>
  <c r="N173" i="8"/>
  <c r="N171" i="8" s="1"/>
  <c r="M173" i="8"/>
  <c r="L173" i="8"/>
  <c r="L171" i="8" s="1"/>
  <c r="O171" i="8" s="1"/>
  <c r="P172" i="8"/>
  <c r="O172" i="8"/>
  <c r="N170" i="8"/>
  <c r="M170" i="8"/>
  <c r="L170" i="8"/>
  <c r="L168" i="8" s="1"/>
  <c r="P169" i="8"/>
  <c r="O169" i="8"/>
  <c r="N166" i="8"/>
  <c r="M166" i="8"/>
  <c r="P166" i="8" s="1"/>
  <c r="L166" i="8"/>
  <c r="I159" i="8"/>
  <c r="K159" i="8" s="1"/>
  <c r="N157" i="8"/>
  <c r="N155" i="8" s="1"/>
  <c r="M157" i="8"/>
  <c r="P157" i="8" s="1"/>
  <c r="L157" i="8"/>
  <c r="P156" i="8"/>
  <c r="O156" i="8"/>
  <c r="N154" i="8"/>
  <c r="N152" i="8" s="1"/>
  <c r="M154" i="8"/>
  <c r="L154" i="8"/>
  <c r="P153" i="8"/>
  <c r="O153" i="8"/>
  <c r="O150" i="8"/>
  <c r="N150" i="8"/>
  <c r="M150" i="8"/>
  <c r="P150" i="8" s="1"/>
  <c r="L150" i="8"/>
  <c r="J148" i="8"/>
  <c r="I146" i="8"/>
  <c r="I145" i="8"/>
  <c r="I143" i="8" s="1"/>
  <c r="I144" i="8"/>
  <c r="K144" i="8" s="1"/>
  <c r="N140" i="8"/>
  <c r="M140" i="8"/>
  <c r="L140" i="8"/>
  <c r="L138" i="8" s="1"/>
  <c r="O138" i="8" s="1"/>
  <c r="P139" i="8"/>
  <c r="O139" i="8"/>
  <c r="N137" i="8"/>
  <c r="N135" i="8" s="1"/>
  <c r="M137" i="8"/>
  <c r="P137" i="8" s="1"/>
  <c r="L137" i="8"/>
  <c r="L135" i="8" s="1"/>
  <c r="O135" i="8" s="1"/>
  <c r="P136" i="8"/>
  <c r="O136" i="8"/>
  <c r="P133" i="8"/>
  <c r="N133" i="8"/>
  <c r="M133" i="8"/>
  <c r="L133" i="8"/>
  <c r="O133" i="8" s="1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P124" i="8" s="1"/>
  <c r="L124" i="8"/>
  <c r="L122" i="8" s="1"/>
  <c r="O122" i="8" s="1"/>
  <c r="P123" i="8"/>
  <c r="O123" i="8"/>
  <c r="O120" i="8"/>
  <c r="N120" i="8"/>
  <c r="M120" i="8"/>
  <c r="P120" i="8" s="1"/>
  <c r="L120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K98" i="8" s="1"/>
  <c r="N96" i="8"/>
  <c r="N94" i="8" s="1"/>
  <c r="M96" i="8"/>
  <c r="L96" i="8"/>
  <c r="L94" i="8" s="1"/>
  <c r="O94" i="8" s="1"/>
  <c r="P95" i="8"/>
  <c r="O95" i="8"/>
  <c r="N93" i="8"/>
  <c r="N91" i="8" s="1"/>
  <c r="M93" i="8"/>
  <c r="M91" i="8" s="1"/>
  <c r="L93" i="8"/>
  <c r="L91" i="8" s="1"/>
  <c r="P92" i="8"/>
  <c r="O92" i="8"/>
  <c r="O89" i="8"/>
  <c r="N89" i="8"/>
  <c r="M89" i="8"/>
  <c r="P89" i="8" s="1"/>
  <c r="L89" i="8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K78" i="8" s="1"/>
  <c r="J77" i="8"/>
  <c r="J65" i="8" s="1"/>
  <c r="J76" i="8"/>
  <c r="J64" i="8" s="1"/>
  <c r="N74" i="8"/>
  <c r="N72" i="8" s="1"/>
  <c r="M74" i="8"/>
  <c r="P74" i="8" s="1"/>
  <c r="L74" i="8"/>
  <c r="O74" i="8" s="1"/>
  <c r="P73" i="8"/>
  <c r="O73" i="8"/>
  <c r="N71" i="8"/>
  <c r="M71" i="8"/>
  <c r="L71" i="8"/>
  <c r="P70" i="8"/>
  <c r="O70" i="8"/>
  <c r="P67" i="8"/>
  <c r="N67" i="8"/>
  <c r="M67" i="8"/>
  <c r="L67" i="8"/>
  <c r="O67" i="8" s="1"/>
  <c r="N61" i="8"/>
  <c r="N59" i="8" s="1"/>
  <c r="M61" i="8"/>
  <c r="L61" i="8"/>
  <c r="L59" i="8" s="1"/>
  <c r="O59" i="8" s="1"/>
  <c r="P60" i="8"/>
  <c r="O60" i="8"/>
  <c r="N58" i="8"/>
  <c r="M58" i="8"/>
  <c r="M56" i="8" s="1"/>
  <c r="L58" i="8"/>
  <c r="L56" i="8" s="1"/>
  <c r="P57" i="8"/>
  <c r="O57" i="8"/>
  <c r="O54" i="8"/>
  <c r="N54" i="8"/>
  <c r="M54" i="8"/>
  <c r="P54" i="8" s="1"/>
  <c r="L54" i="8"/>
  <c r="N49" i="8"/>
  <c r="N47" i="8" s="1"/>
  <c r="M49" i="8"/>
  <c r="P49" i="8" s="1"/>
  <c r="L49" i="8"/>
  <c r="L47" i="8" s="1"/>
  <c r="O47" i="8" s="1"/>
  <c r="P48" i="8"/>
  <c r="O48" i="8"/>
  <c r="N46" i="8"/>
  <c r="M46" i="8"/>
  <c r="M44" i="8" s="1"/>
  <c r="L46" i="8"/>
  <c r="L44" i="8" s="1"/>
  <c r="P45" i="8"/>
  <c r="O45" i="8"/>
  <c r="P42" i="8"/>
  <c r="N42" i="8"/>
  <c r="M42" i="8"/>
  <c r="L42" i="8"/>
  <c r="O42" i="8" s="1"/>
  <c r="N36" i="8"/>
  <c r="M36" i="8"/>
  <c r="P36" i="8" s="1"/>
  <c r="P35" i="8"/>
  <c r="N35" i="8"/>
  <c r="N34" i="8" s="1"/>
  <c r="M35" i="8"/>
  <c r="L35" i="8"/>
  <c r="O35" i="8" s="1"/>
  <c r="P33" i="8"/>
  <c r="N33" i="8"/>
  <c r="N31" i="8" s="1"/>
  <c r="M33" i="8"/>
  <c r="P32" i="8"/>
  <c r="O32" i="8"/>
  <c r="N32" i="8"/>
  <c r="M32" i="8"/>
  <c r="M31" i="8" s="1"/>
  <c r="P31" i="8" s="1"/>
  <c r="L32" i="8"/>
  <c r="P29" i="8"/>
  <c r="N29" i="8"/>
  <c r="M29" i="8"/>
  <c r="P25" i="8"/>
  <c r="O25" i="8"/>
  <c r="N25" i="8"/>
  <c r="M25" i="8"/>
  <c r="L25" i="8"/>
  <c r="P22" i="8"/>
  <c r="N22" i="8"/>
  <c r="M22" i="8"/>
  <c r="M12" i="8" s="1"/>
  <c r="L22" i="8"/>
  <c r="N19" i="8"/>
  <c r="N15" i="8"/>
  <c r="L15" i="8"/>
  <c r="O15" i="8" s="1"/>
  <c r="N12" i="8"/>
  <c r="N9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O807" i="7"/>
  <c r="M807" i="7"/>
  <c r="P807" i="7" s="1"/>
  <c r="L807" i="7"/>
  <c r="P806" i="7"/>
  <c r="N806" i="7"/>
  <c r="M806" i="7"/>
  <c r="L806" i="7"/>
  <c r="O806" i="7" s="1"/>
  <c r="M805" i="7"/>
  <c r="P805" i="7" s="1"/>
  <c r="K804" i="7"/>
  <c r="J804" i="7"/>
  <c r="J803" i="7"/>
  <c r="I803" i="7"/>
  <c r="J802" i="7"/>
  <c r="J801" i="7"/>
  <c r="I801" i="7"/>
  <c r="J800" i="7"/>
  <c r="P798" i="7"/>
  <c r="O798" i="7"/>
  <c r="P797" i="7"/>
  <c r="O797" i="7"/>
  <c r="P796" i="7"/>
  <c r="N796" i="7"/>
  <c r="M796" i="7"/>
  <c r="L796" i="7"/>
  <c r="O796" i="7" s="1"/>
  <c r="N795" i="7"/>
  <c r="P791" i="7"/>
  <c r="N791" i="7"/>
  <c r="L791" i="7"/>
  <c r="L788" i="7" s="1"/>
  <c r="P790" i="7"/>
  <c r="O790" i="7"/>
  <c r="P789" i="7"/>
  <c r="M789" i="7"/>
  <c r="M788" i="7"/>
  <c r="P788" i="7" s="1"/>
  <c r="P787" i="7"/>
  <c r="N787" i="7"/>
  <c r="M787" i="7"/>
  <c r="M786" i="7" s="1"/>
  <c r="P786" i="7" s="1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P772" i="7"/>
  <c r="N772" i="7"/>
  <c r="M772" i="7"/>
  <c r="L772" i="7"/>
  <c r="O772" i="7" s="1"/>
  <c r="O771" i="7"/>
  <c r="N771" i="7"/>
  <c r="N770" i="7" s="1"/>
  <c r="M771" i="7"/>
  <c r="L771" i="7"/>
  <c r="L770" i="7"/>
  <c r="O770" i="7" s="1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N757" i="7" s="1"/>
  <c r="P758" i="7"/>
  <c r="O758" i="7"/>
  <c r="O757" i="7"/>
  <c r="M757" i="7"/>
  <c r="P757" i="7" s="1"/>
  <c r="L757" i="7"/>
  <c r="P756" i="7"/>
  <c r="N756" i="7"/>
  <c r="M756" i="7"/>
  <c r="L756" i="7"/>
  <c r="O756" i="7" s="1"/>
  <c r="O755" i="7"/>
  <c r="N755" i="7"/>
  <c r="N754" i="7" s="1"/>
  <c r="M755" i="7"/>
  <c r="L755" i="7"/>
  <c r="L754" i="7"/>
  <c r="O754" i="7" s="1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N740" i="7" s="1"/>
  <c r="P741" i="7"/>
  <c r="O741" i="7"/>
  <c r="O740" i="7"/>
  <c r="M740" i="7"/>
  <c r="P740" i="7" s="1"/>
  <c r="L740" i="7"/>
  <c r="P739" i="7"/>
  <c r="N739" i="7"/>
  <c r="M739" i="7"/>
  <c r="L739" i="7"/>
  <c r="O739" i="7" s="1"/>
  <c r="O738" i="7"/>
  <c r="N738" i="7"/>
  <c r="N737" i="7" s="1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L690" i="7"/>
  <c r="O690" i="7" s="1"/>
  <c r="P688" i="7"/>
  <c r="N688" i="7"/>
  <c r="M688" i="7"/>
  <c r="M687" i="7"/>
  <c r="P687" i="7" s="1"/>
  <c r="P686" i="7"/>
  <c r="N686" i="7"/>
  <c r="M686" i="7"/>
  <c r="M685" i="7" s="1"/>
  <c r="P685" i="7" s="1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O660" i="7" s="1"/>
  <c r="P659" i="7"/>
  <c r="O659" i="7"/>
  <c r="N658" i="7"/>
  <c r="M658" i="7"/>
  <c r="P658" i="7" s="1"/>
  <c r="P657" i="7"/>
  <c r="N657" i="7"/>
  <c r="M657" i="7"/>
  <c r="O656" i="7"/>
  <c r="N656" i="7"/>
  <c r="M656" i="7"/>
  <c r="P656" i="7" s="1"/>
  <c r="L656" i="7"/>
  <c r="N655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8" i="7"/>
  <c r="N637" i="7"/>
  <c r="N636" i="7"/>
  <c r="P634" i="7"/>
  <c r="N634" i="7"/>
  <c r="N631" i="7" s="1"/>
  <c r="L634" i="7"/>
  <c r="O634" i="7" s="1"/>
  <c r="P633" i="7"/>
  <c r="O633" i="7"/>
  <c r="P632" i="7"/>
  <c r="N632" i="7"/>
  <c r="M632" i="7"/>
  <c r="M631" i="7"/>
  <c r="P631" i="7" s="1"/>
  <c r="P630" i="7"/>
  <c r="N630" i="7"/>
  <c r="N629" i="7" s="1"/>
  <c r="M630" i="7"/>
  <c r="L630" i="7"/>
  <c r="O630" i="7" s="1"/>
  <c r="M629" i="7"/>
  <c r="P629" i="7" s="1"/>
  <c r="J621" i="7"/>
  <c r="I621" i="7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I594" i="7"/>
  <c r="K594" i="7" s="1"/>
  <c r="I593" i="7"/>
  <c r="I592" i="7" s="1"/>
  <c r="J583" i="7"/>
  <c r="J577" i="7" s="1"/>
  <c r="J582" i="7"/>
  <c r="I577" i="7"/>
  <c r="J576" i="7"/>
  <c r="I576" i="7"/>
  <c r="I559" i="7" s="1"/>
  <c r="I543" i="7" s="1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O557" i="7" s="1"/>
  <c r="P556" i="7"/>
  <c r="O556" i="7"/>
  <c r="N555" i="7"/>
  <c r="M555" i="7"/>
  <c r="P555" i="7" s="1"/>
  <c r="N553" i="7"/>
  <c r="N552" i="7"/>
  <c r="N551" i="7"/>
  <c r="P549" i="7"/>
  <c r="N549" i="7"/>
  <c r="N546" i="7" s="1"/>
  <c r="L549" i="7"/>
  <c r="L547" i="7" s="1"/>
  <c r="O547" i="7" s="1"/>
  <c r="P548" i="7"/>
  <c r="O548" i="7"/>
  <c r="P547" i="7"/>
  <c r="N547" i="7"/>
  <c r="M547" i="7"/>
  <c r="M546" i="7"/>
  <c r="P546" i="7" s="1"/>
  <c r="P545" i="7"/>
  <c r="N545" i="7"/>
  <c r="M545" i="7"/>
  <c r="L545" i="7"/>
  <c r="O545" i="7" s="1"/>
  <c r="M544" i="7"/>
  <c r="P544" i="7" s="1"/>
  <c r="I542" i="7"/>
  <c r="K542" i="7" s="1"/>
  <c r="I541" i="7"/>
  <c r="K541" i="7" s="1"/>
  <c r="I540" i="7"/>
  <c r="K540" i="7" s="1"/>
  <c r="I539" i="7"/>
  <c r="K539" i="7" s="1"/>
  <c r="I538" i="7"/>
  <c r="I537" i="7"/>
  <c r="K537" i="7" s="1"/>
  <c r="P535" i="7"/>
  <c r="L535" i="7"/>
  <c r="L533" i="7" s="1"/>
  <c r="O533" i="7" s="1"/>
  <c r="P534" i="7"/>
  <c r="O534" i="7"/>
  <c r="N533" i="7"/>
  <c r="M533" i="7"/>
  <c r="P533" i="7" s="1"/>
  <c r="P528" i="7"/>
  <c r="N528" i="7"/>
  <c r="N525" i="7" s="1"/>
  <c r="N523" i="7" s="1"/>
  <c r="L528" i="7"/>
  <c r="O528" i="7" s="1"/>
  <c r="P527" i="7"/>
  <c r="O527" i="7"/>
  <c r="P526" i="7"/>
  <c r="N526" i="7"/>
  <c r="M526" i="7"/>
  <c r="M525" i="7"/>
  <c r="P525" i="7" s="1"/>
  <c r="P524" i="7"/>
  <c r="N524" i="7"/>
  <c r="M524" i="7"/>
  <c r="L524" i="7"/>
  <c r="K517" i="7"/>
  <c r="J517" i="7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M505" i="7"/>
  <c r="L505" i="7"/>
  <c r="O505" i="7" s="1"/>
  <c r="O504" i="7"/>
  <c r="M504" i="7"/>
  <c r="P504" i="7" s="1"/>
  <c r="L504" i="7"/>
  <c r="L502" i="7" s="1"/>
  <c r="P503" i="7"/>
  <c r="N503" i="7"/>
  <c r="N502" i="7" s="1"/>
  <c r="M503" i="7"/>
  <c r="L503" i="7"/>
  <c r="O503" i="7" s="1"/>
  <c r="O502" i="7"/>
  <c r="M502" i="7"/>
  <c r="P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5" i="7"/>
  <c r="N472" i="7" s="1"/>
  <c r="P472" i="7"/>
  <c r="L472" i="7"/>
  <c r="P471" i="7"/>
  <c r="O471" i="7"/>
  <c r="M470" i="7"/>
  <c r="P470" i="7" s="1"/>
  <c r="P469" i="7"/>
  <c r="M469" i="7"/>
  <c r="M467" i="7" s="1"/>
  <c r="O468" i="7"/>
  <c r="N468" i="7"/>
  <c r="M468" i="7"/>
  <c r="P468" i="7" s="1"/>
  <c r="L468" i="7"/>
  <c r="P467" i="7"/>
  <c r="J466" i="7"/>
  <c r="I466" i="7"/>
  <c r="J465" i="7"/>
  <c r="I465" i="7"/>
  <c r="K465" i="7" s="1"/>
  <c r="I464" i="7"/>
  <c r="I463" i="7"/>
  <c r="I462" i="7"/>
  <c r="I443" i="7" s="1"/>
  <c r="K443" i="7" s="1"/>
  <c r="I460" i="7"/>
  <c r="K460" i="7" s="1"/>
  <c r="K458" i="7"/>
  <c r="P456" i="7"/>
  <c r="L456" i="7"/>
  <c r="L454" i="7" s="1"/>
  <c r="O454" i="7" s="1"/>
  <c r="P455" i="7"/>
  <c r="O455" i="7"/>
  <c r="N454" i="7"/>
  <c r="M454" i="7"/>
  <c r="P454" i="7" s="1"/>
  <c r="N452" i="7"/>
  <c r="N450" i="7"/>
  <c r="P449" i="7"/>
  <c r="N449" i="7"/>
  <c r="N446" i="7" s="1"/>
  <c r="L449" i="7"/>
  <c r="L447" i="7" s="1"/>
  <c r="O447" i="7" s="1"/>
  <c r="P448" i="7"/>
  <c r="O448" i="7"/>
  <c r="P447" i="7"/>
  <c r="N447" i="7"/>
  <c r="M447" i="7"/>
  <c r="M446" i="7"/>
  <c r="P446" i="7" s="1"/>
  <c r="P445" i="7"/>
  <c r="N445" i="7"/>
  <c r="N444" i="7" s="1"/>
  <c r="M445" i="7"/>
  <c r="L445" i="7"/>
  <c r="O445" i="7" s="1"/>
  <c r="M444" i="7"/>
  <c r="P444" i="7" s="1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J434" i="7"/>
  <c r="P431" i="7"/>
  <c r="L431" i="7"/>
  <c r="O431" i="7" s="1"/>
  <c r="P430" i="7"/>
  <c r="O430" i="7"/>
  <c r="N429" i="7"/>
  <c r="M429" i="7"/>
  <c r="P429" i="7" s="1"/>
  <c r="N425" i="7"/>
  <c r="N424" i="7" s="1"/>
  <c r="P424" i="7"/>
  <c r="L424" i="7"/>
  <c r="P423" i="7"/>
  <c r="O423" i="7"/>
  <c r="M422" i="7"/>
  <c r="P422" i="7" s="1"/>
  <c r="P421" i="7"/>
  <c r="M421" i="7"/>
  <c r="O420" i="7"/>
  <c r="N420" i="7"/>
  <c r="M420" i="7"/>
  <c r="P420" i="7" s="1"/>
  <c r="L420" i="7"/>
  <c r="J418" i="7"/>
  <c r="K413" i="7"/>
  <c r="K412" i="7"/>
  <c r="N410" i="7"/>
  <c r="N408" i="7" s="1"/>
  <c r="M410" i="7"/>
  <c r="P410" i="7" s="1"/>
  <c r="L410" i="7"/>
  <c r="L408" i="7" s="1"/>
  <c r="O408" i="7" s="1"/>
  <c r="P409" i="7"/>
  <c r="O409" i="7"/>
  <c r="N407" i="7"/>
  <c r="N405" i="7" s="1"/>
  <c r="M407" i="7"/>
  <c r="P407" i="7" s="1"/>
  <c r="L407" i="7"/>
  <c r="L405" i="7" s="1"/>
  <c r="O405" i="7" s="1"/>
  <c r="P406" i="7"/>
  <c r="O406" i="7"/>
  <c r="N403" i="7"/>
  <c r="M403" i="7"/>
  <c r="L403" i="7"/>
  <c r="O403" i="7" s="1"/>
  <c r="K401" i="7"/>
  <c r="J401" i="7"/>
  <c r="I401" i="7"/>
  <c r="K400" i="7"/>
  <c r="K399" i="7"/>
  <c r="N397" i="7"/>
  <c r="N395" i="7" s="1"/>
  <c r="M397" i="7"/>
  <c r="P397" i="7" s="1"/>
  <c r="L397" i="7"/>
  <c r="O397" i="7" s="1"/>
  <c r="P396" i="7"/>
  <c r="O396" i="7"/>
  <c r="N394" i="7"/>
  <c r="N392" i="7" s="1"/>
  <c r="M394" i="7"/>
  <c r="P394" i="7" s="1"/>
  <c r="L394" i="7"/>
  <c r="L392" i="7" s="1"/>
  <c r="O392" i="7" s="1"/>
  <c r="P393" i="7"/>
  <c r="O393" i="7"/>
  <c r="O390" i="7"/>
  <c r="N390" i="7"/>
  <c r="M390" i="7"/>
  <c r="P390" i="7" s="1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L351" i="7" s="1"/>
  <c r="P352" i="7"/>
  <c r="O352" i="7"/>
  <c r="N350" i="7"/>
  <c r="N348" i="7" s="1"/>
  <c r="M350" i="7"/>
  <c r="L350" i="7"/>
  <c r="L348" i="7" s="1"/>
  <c r="P349" i="7"/>
  <c r="O349" i="7"/>
  <c r="O346" i="7"/>
  <c r="N346" i="7"/>
  <c r="M346" i="7"/>
  <c r="P346" i="7" s="1"/>
  <c r="L346" i="7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O336" i="7" s="1"/>
  <c r="P335" i="7"/>
  <c r="O335" i="7"/>
  <c r="N333" i="7"/>
  <c r="N331" i="7" s="1"/>
  <c r="M333" i="7"/>
  <c r="L333" i="7"/>
  <c r="L331" i="7" s="1"/>
  <c r="P332" i="7"/>
  <c r="O332" i="7"/>
  <c r="O329" i="7"/>
  <c r="N329" i="7"/>
  <c r="M329" i="7"/>
  <c r="P329" i="7" s="1"/>
  <c r="L329" i="7"/>
  <c r="I327" i="7"/>
  <c r="I325" i="7"/>
  <c r="K325" i="7" s="1"/>
  <c r="N323" i="7"/>
  <c r="N321" i="7" s="1"/>
  <c r="M323" i="7"/>
  <c r="M321" i="7" s="1"/>
  <c r="P321" i="7" s="1"/>
  <c r="L323" i="7"/>
  <c r="P322" i="7"/>
  <c r="O322" i="7"/>
  <c r="N320" i="7"/>
  <c r="N318" i="7" s="1"/>
  <c r="M320" i="7"/>
  <c r="L320" i="7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N304" i="7" s="1"/>
  <c r="M306" i="7"/>
  <c r="L306" i="7"/>
  <c r="L304" i="7" s="1"/>
  <c r="O304" i="7" s="1"/>
  <c r="P305" i="7"/>
  <c r="O305" i="7"/>
  <c r="N303" i="7"/>
  <c r="M303" i="7"/>
  <c r="L303" i="7"/>
  <c r="L301" i="7" s="1"/>
  <c r="O301" i="7" s="1"/>
  <c r="P302" i="7"/>
  <c r="O302" i="7"/>
  <c r="N299" i="7"/>
  <c r="M299" i="7"/>
  <c r="L299" i="7"/>
  <c r="O299" i="7" s="1"/>
  <c r="J297" i="7"/>
  <c r="I294" i="7"/>
  <c r="K294" i="7" s="1"/>
  <c r="I293" i="7"/>
  <c r="K293" i="7" s="1"/>
  <c r="I291" i="7"/>
  <c r="K291" i="7" s="1"/>
  <c r="I290" i="7"/>
  <c r="K290" i="7" s="1"/>
  <c r="I288" i="7"/>
  <c r="I287" i="7"/>
  <c r="K287" i="7" s="1"/>
  <c r="N285" i="7"/>
  <c r="N283" i="7" s="1"/>
  <c r="M285" i="7"/>
  <c r="M283" i="7" s="1"/>
  <c r="P283" i="7" s="1"/>
  <c r="L285" i="7"/>
  <c r="O285" i="7" s="1"/>
  <c r="P284" i="7"/>
  <c r="O284" i="7"/>
  <c r="N282" i="7"/>
  <c r="N280" i="7" s="1"/>
  <c r="M282" i="7"/>
  <c r="L282" i="7"/>
  <c r="P281" i="7"/>
  <c r="O281" i="7"/>
  <c r="N278" i="7"/>
  <c r="M278" i="7"/>
  <c r="L278" i="7"/>
  <c r="O278" i="7" s="1"/>
  <c r="J276" i="7"/>
  <c r="I271" i="7"/>
  <c r="I260" i="7" s="1"/>
  <c r="N269" i="7"/>
  <c r="N267" i="7" s="1"/>
  <c r="M269" i="7"/>
  <c r="M267" i="7" s="1"/>
  <c r="P267" i="7" s="1"/>
  <c r="L269" i="7"/>
  <c r="P268" i="7"/>
  <c r="O268" i="7"/>
  <c r="N266" i="7"/>
  <c r="N264" i="7" s="1"/>
  <c r="M266" i="7"/>
  <c r="L266" i="7"/>
  <c r="P265" i="7"/>
  <c r="O265" i="7"/>
  <c r="O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N227" i="7" s="1"/>
  <c r="J248" i="7"/>
  <c r="K247" i="7"/>
  <c r="K246" i="7"/>
  <c r="I244" i="7"/>
  <c r="L242" i="7"/>
  <c r="L241" i="7"/>
  <c r="L240" i="7"/>
  <c r="L239" i="7"/>
  <c r="P238" i="7"/>
  <c r="N238" i="7"/>
  <c r="J237" i="7"/>
  <c r="J226" i="7" s="1"/>
  <c r="J180" i="7" s="1"/>
  <c r="K236" i="7"/>
  <c r="J236" i="7"/>
  <c r="I236" i="7"/>
  <c r="K235" i="7"/>
  <c r="J235" i="7"/>
  <c r="I235" i="7"/>
  <c r="J233" i="7"/>
  <c r="N231" i="7"/>
  <c r="N230" i="7"/>
  <c r="N229" i="7"/>
  <c r="N228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K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M187" i="7" s="1"/>
  <c r="P187" i="7" s="1"/>
  <c r="L189" i="7"/>
  <c r="O189" i="7" s="1"/>
  <c r="P188" i="7"/>
  <c r="O188" i="7"/>
  <c r="N186" i="7"/>
  <c r="N184" i="7" s="1"/>
  <c r="M186" i="7"/>
  <c r="L186" i="7"/>
  <c r="L184" i="7" s="1"/>
  <c r="P185" i="7"/>
  <c r="O185" i="7"/>
  <c r="O182" i="7"/>
  <c r="N182" i="7"/>
  <c r="M182" i="7"/>
  <c r="L182" i="7"/>
  <c r="J177" i="7"/>
  <c r="J164" i="7" s="1"/>
  <c r="I176" i="7"/>
  <c r="J174" i="7"/>
  <c r="N173" i="7"/>
  <c r="N171" i="7" s="1"/>
  <c r="M173" i="7"/>
  <c r="L173" i="7"/>
  <c r="O173" i="7" s="1"/>
  <c r="P172" i="7"/>
  <c r="O172" i="7"/>
  <c r="N170" i="7"/>
  <c r="N168" i="7" s="1"/>
  <c r="M170" i="7"/>
  <c r="M168" i="7" s="1"/>
  <c r="L170" i="7"/>
  <c r="L168" i="7" s="1"/>
  <c r="P169" i="7"/>
  <c r="O169" i="7"/>
  <c r="O166" i="7"/>
  <c r="N166" i="7"/>
  <c r="M166" i="7"/>
  <c r="L166" i="7"/>
  <c r="I159" i="7"/>
  <c r="I148" i="7" s="1"/>
  <c r="N157" i="7"/>
  <c r="N155" i="7" s="1"/>
  <c r="M157" i="7"/>
  <c r="P157" i="7" s="1"/>
  <c r="L157" i="7"/>
  <c r="P156" i="7"/>
  <c r="O156" i="7"/>
  <c r="N154" i="7"/>
  <c r="N152" i="7" s="1"/>
  <c r="M154" i="7"/>
  <c r="M152" i="7" s="1"/>
  <c r="L154" i="7"/>
  <c r="P153" i="7"/>
  <c r="O153" i="7"/>
  <c r="O150" i="7"/>
  <c r="N150" i="7"/>
  <c r="M150" i="7"/>
  <c r="L150" i="7"/>
  <c r="J148" i="7"/>
  <c r="I146" i="7"/>
  <c r="K146" i="7" s="1"/>
  <c r="I145" i="7"/>
  <c r="K145" i="7" s="1"/>
  <c r="I144" i="7"/>
  <c r="N140" i="7"/>
  <c r="N138" i="7" s="1"/>
  <c r="M140" i="7"/>
  <c r="L140" i="7"/>
  <c r="O140" i="7" s="1"/>
  <c r="P139" i="7"/>
  <c r="O139" i="7"/>
  <c r="N137" i="7"/>
  <c r="N135" i="7" s="1"/>
  <c r="M137" i="7"/>
  <c r="M135" i="7" s="1"/>
  <c r="P135" i="7" s="1"/>
  <c r="L137" i="7"/>
  <c r="L135" i="7" s="1"/>
  <c r="O135" i="7" s="1"/>
  <c r="P136" i="7"/>
  <c r="O136" i="7"/>
  <c r="P133" i="7"/>
  <c r="N133" i="7"/>
  <c r="M133" i="7"/>
  <c r="L133" i="7"/>
  <c r="J130" i="7"/>
  <c r="N127" i="7"/>
  <c r="N125" i="7" s="1"/>
  <c r="M127" i="7"/>
  <c r="P127" i="7" s="1"/>
  <c r="L127" i="7"/>
  <c r="P126" i="7"/>
  <c r="O126" i="7"/>
  <c r="N124" i="7"/>
  <c r="N122" i="7" s="1"/>
  <c r="M124" i="7"/>
  <c r="P124" i="7" s="1"/>
  <c r="L124" i="7"/>
  <c r="P123" i="7"/>
  <c r="O123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J86" i="7" s="1"/>
  <c r="I98" i="7"/>
  <c r="K98" i="7" s="1"/>
  <c r="N96" i="7"/>
  <c r="N94" i="7" s="1"/>
  <c r="M96" i="7"/>
  <c r="L96" i="7"/>
  <c r="O96" i="7" s="1"/>
  <c r="P95" i="7"/>
  <c r="O95" i="7"/>
  <c r="N93" i="7"/>
  <c r="N91" i="7" s="1"/>
  <c r="M93" i="7"/>
  <c r="M91" i="7" s="1"/>
  <c r="L93" i="7"/>
  <c r="P92" i="7"/>
  <c r="O92" i="7"/>
  <c r="P89" i="7"/>
  <c r="O89" i="7"/>
  <c r="N89" i="7"/>
  <c r="M89" i="7"/>
  <c r="L89" i="7"/>
  <c r="J87" i="7"/>
  <c r="I84" i="7"/>
  <c r="K84" i="7" s="1"/>
  <c r="I83" i="7"/>
  <c r="K83" i="7" s="1"/>
  <c r="I82" i="7"/>
  <c r="K82" i="7" s="1"/>
  <c r="I81" i="7"/>
  <c r="K81" i="7" s="1"/>
  <c r="I80" i="7"/>
  <c r="I79" i="7"/>
  <c r="I78" i="7"/>
  <c r="K78" i="7" s="1"/>
  <c r="J77" i="7"/>
  <c r="J65" i="7" s="1"/>
  <c r="J76" i="7"/>
  <c r="N74" i="7"/>
  <c r="N72" i="7" s="1"/>
  <c r="M74" i="7"/>
  <c r="M72" i="7" s="1"/>
  <c r="P72" i="7" s="1"/>
  <c r="L74" i="7"/>
  <c r="L72" i="7" s="1"/>
  <c r="O72" i="7" s="1"/>
  <c r="P73" i="7"/>
  <c r="O73" i="7"/>
  <c r="N71" i="7"/>
  <c r="N69" i="7" s="1"/>
  <c r="M71" i="7"/>
  <c r="M69" i="7" s="1"/>
  <c r="P69" i="7" s="1"/>
  <c r="L71" i="7"/>
  <c r="O71" i="7" s="1"/>
  <c r="P70" i="7"/>
  <c r="O70" i="7"/>
  <c r="P67" i="7"/>
  <c r="N67" i="7"/>
  <c r="M67" i="7"/>
  <c r="L67" i="7"/>
  <c r="J64" i="7"/>
  <c r="N61" i="7"/>
  <c r="N59" i="7" s="1"/>
  <c r="M61" i="7"/>
  <c r="L61" i="7"/>
  <c r="P60" i="7"/>
  <c r="O60" i="7"/>
  <c r="N58" i="7"/>
  <c r="M58" i="7"/>
  <c r="M56" i="7" s="1"/>
  <c r="L58" i="7"/>
  <c r="P57" i="7"/>
  <c r="O57" i="7"/>
  <c r="O54" i="7"/>
  <c r="N54" i="7"/>
  <c r="M54" i="7"/>
  <c r="L54" i="7"/>
  <c r="N49" i="7"/>
  <c r="N47" i="7" s="1"/>
  <c r="M49" i="7"/>
  <c r="L49" i="7"/>
  <c r="O49" i="7" s="1"/>
  <c r="P48" i="7"/>
  <c r="O48" i="7"/>
  <c r="N46" i="7"/>
  <c r="N44" i="7" s="1"/>
  <c r="M46" i="7"/>
  <c r="M44" i="7" s="1"/>
  <c r="L46" i="7"/>
  <c r="P45" i="7"/>
  <c r="O45" i="7"/>
  <c r="P42" i="7"/>
  <c r="N42" i="7"/>
  <c r="M42" i="7"/>
  <c r="L42" i="7"/>
  <c r="N36" i="7"/>
  <c r="M36" i="7"/>
  <c r="P36" i="7" s="1"/>
  <c r="P35" i="7"/>
  <c r="N35" i="7"/>
  <c r="N34" i="7" s="1"/>
  <c r="M35" i="7"/>
  <c r="L35" i="7"/>
  <c r="M34" i="7"/>
  <c r="P34" i="7" s="1"/>
  <c r="P33" i="7"/>
  <c r="M33" i="7"/>
  <c r="O32" i="7"/>
  <c r="N32" i="7"/>
  <c r="M32" i="7"/>
  <c r="L32" i="7"/>
  <c r="M31" i="7"/>
  <c r="P31" i="7" s="1"/>
  <c r="N29" i="7"/>
  <c r="O25" i="7"/>
  <c r="N25" i="7"/>
  <c r="M25" i="7"/>
  <c r="L25" i="7"/>
  <c r="P22" i="7"/>
  <c r="N22" i="7"/>
  <c r="N12" i="7" s="1"/>
  <c r="M22" i="7"/>
  <c r="L22" i="7"/>
  <c r="N19" i="7"/>
  <c r="M19" i="7"/>
  <c r="P19" i="7" s="1"/>
  <c r="N15" i="7"/>
  <c r="O12" i="7"/>
  <c r="M12" i="7"/>
  <c r="P12" i="7" s="1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7" i="6" s="1"/>
  <c r="N805" i="6" s="1"/>
  <c r="P809" i="6"/>
  <c r="O809" i="6"/>
  <c r="N808" i="6"/>
  <c r="M808" i="6"/>
  <c r="P808" i="6" s="1"/>
  <c r="L808" i="6"/>
  <c r="O808" i="6" s="1"/>
  <c r="M807" i="6"/>
  <c r="P807" i="6" s="1"/>
  <c r="L807" i="6"/>
  <c r="O807" i="6" s="1"/>
  <c r="P806" i="6"/>
  <c r="N806" i="6"/>
  <c r="M806" i="6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P791" i="6"/>
  <c r="N791" i="6"/>
  <c r="L791" i="6"/>
  <c r="L789" i="6" s="1"/>
  <c r="O789" i="6" s="1"/>
  <c r="P790" i="6"/>
  <c r="O790" i="6"/>
  <c r="P789" i="6"/>
  <c r="N789" i="6"/>
  <c r="M789" i="6"/>
  <c r="P788" i="6"/>
  <c r="M788" i="6"/>
  <c r="M786" i="6" s="1"/>
  <c r="P786" i="6" s="1"/>
  <c r="O787" i="6"/>
  <c r="N787" i="6"/>
  <c r="M787" i="6"/>
  <c r="P787" i="6" s="1"/>
  <c r="L787" i="6"/>
  <c r="P782" i="6"/>
  <c r="O782" i="6"/>
  <c r="P781" i="6"/>
  <c r="O781" i="6"/>
  <c r="N780" i="6"/>
  <c r="M780" i="6"/>
  <c r="P780" i="6" s="1"/>
  <c r="L780" i="6"/>
  <c r="O780" i="6" s="1"/>
  <c r="P775" i="6"/>
  <c r="O775" i="6"/>
  <c r="N775" i="6"/>
  <c r="N773" i="6" s="1"/>
  <c r="P774" i="6"/>
  <c r="O774" i="6"/>
  <c r="P773" i="6"/>
  <c r="M773" i="6"/>
  <c r="L773" i="6"/>
  <c r="O773" i="6" s="1"/>
  <c r="P772" i="6"/>
  <c r="O772" i="6"/>
  <c r="N772" i="6"/>
  <c r="N770" i="6" s="1"/>
  <c r="M772" i="6"/>
  <c r="L772" i="6"/>
  <c r="P771" i="6"/>
  <c r="O771" i="6"/>
  <c r="N771" i="6"/>
  <c r="M771" i="6"/>
  <c r="M770" i="6" s="1"/>
  <c r="P770" i="6" s="1"/>
  <c r="L771" i="6"/>
  <c r="O770" i="6"/>
  <c r="L770" i="6"/>
  <c r="K769" i="6"/>
  <c r="J769" i="6"/>
  <c r="P766" i="6"/>
  <c r="O766" i="6"/>
  <c r="P765" i="6"/>
  <c r="O765" i="6"/>
  <c r="N764" i="6"/>
  <c r="M764" i="6"/>
  <c r="P764" i="6" s="1"/>
  <c r="L764" i="6"/>
  <c r="O764" i="6" s="1"/>
  <c r="P759" i="6"/>
  <c r="O759" i="6"/>
  <c r="N759" i="6"/>
  <c r="N757" i="6" s="1"/>
  <c r="P758" i="6"/>
  <c r="O758" i="6"/>
  <c r="M757" i="6"/>
  <c r="P757" i="6" s="1"/>
  <c r="L757" i="6"/>
  <c r="O757" i="6" s="1"/>
  <c r="P756" i="6"/>
  <c r="N756" i="6"/>
  <c r="N754" i="6" s="1"/>
  <c r="M756" i="6"/>
  <c r="L756" i="6"/>
  <c r="O756" i="6" s="1"/>
  <c r="P755" i="6"/>
  <c r="O755" i="6"/>
  <c r="N755" i="6"/>
  <c r="M755" i="6"/>
  <c r="M754" i="6" s="1"/>
  <c r="P754" i="6" s="1"/>
  <c r="L755" i="6"/>
  <c r="O754" i="6"/>
  <c r="L754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N740" i="6" s="1"/>
  <c r="P741" i="6"/>
  <c r="O741" i="6"/>
  <c r="M740" i="6"/>
  <c r="P740" i="6" s="1"/>
  <c r="L740" i="6"/>
  <c r="O740" i="6" s="1"/>
  <c r="P739" i="6"/>
  <c r="N739" i="6"/>
  <c r="N737" i="6" s="1"/>
  <c r="M739" i="6"/>
  <c r="L739" i="6"/>
  <c r="O739" i="6" s="1"/>
  <c r="P738" i="6"/>
  <c r="O738" i="6"/>
  <c r="N738" i="6"/>
  <c r="M738" i="6"/>
  <c r="M737" i="6" s="1"/>
  <c r="P737" i="6" s="1"/>
  <c r="L738" i="6"/>
  <c r="O737" i="6"/>
  <c r="L737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N695" i="6"/>
  <c r="M695" i="6"/>
  <c r="P695" i="6" s="1"/>
  <c r="L695" i="6"/>
  <c r="O695" i="6" s="1"/>
  <c r="P690" i="6"/>
  <c r="N690" i="6"/>
  <c r="L690" i="6"/>
  <c r="P688" i="6"/>
  <c r="N688" i="6"/>
  <c r="M688" i="6"/>
  <c r="P687" i="6"/>
  <c r="N687" i="6"/>
  <c r="M687" i="6"/>
  <c r="M685" i="6" s="1"/>
  <c r="P685" i="6" s="1"/>
  <c r="O686" i="6"/>
  <c r="N686" i="6"/>
  <c r="M686" i="6"/>
  <c r="P686" i="6" s="1"/>
  <c r="L686" i="6"/>
  <c r="N685" i="6"/>
  <c r="J679" i="6"/>
  <c r="J678" i="6" s="1"/>
  <c r="I678" i="6"/>
  <c r="K678" i="6" s="1"/>
  <c r="J675" i="6"/>
  <c r="J669" i="6" s="1"/>
  <c r="J654" i="6" s="1"/>
  <c r="I671" i="6"/>
  <c r="K671" i="6" s="1"/>
  <c r="I670" i="6"/>
  <c r="K670" i="6" s="1"/>
  <c r="I669" i="6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N655" i="6" s="1"/>
  <c r="L660" i="6"/>
  <c r="O660" i="6" s="1"/>
  <c r="P659" i="6"/>
  <c r="O659" i="6"/>
  <c r="M658" i="6"/>
  <c r="P658" i="6" s="1"/>
  <c r="M657" i="6"/>
  <c r="P657" i="6" s="1"/>
  <c r="P656" i="6"/>
  <c r="N656" i="6"/>
  <c r="M656" i="6"/>
  <c r="L656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P639" i="6"/>
  <c r="N639" i="6"/>
  <c r="M639" i="6"/>
  <c r="P634" i="6"/>
  <c r="N634" i="6"/>
  <c r="L634" i="6"/>
  <c r="O634" i="6" s="1"/>
  <c r="P633" i="6"/>
  <c r="O633" i="6"/>
  <c r="P632" i="6"/>
  <c r="N632" i="6"/>
  <c r="M632" i="6"/>
  <c r="N631" i="6"/>
  <c r="M631" i="6"/>
  <c r="P631" i="6" s="1"/>
  <c r="N630" i="6"/>
  <c r="N629" i="6" s="1"/>
  <c r="M630" i="6"/>
  <c r="P630" i="6" s="1"/>
  <c r="L630" i="6"/>
  <c r="M629" i="6"/>
  <c r="P629" i="6" s="1"/>
  <c r="J621" i="6"/>
  <c r="I621" i="6"/>
  <c r="J620" i="6"/>
  <c r="I620" i="6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J592" i="6" s="1"/>
  <c r="I594" i="6"/>
  <c r="I593" i="6"/>
  <c r="I592" i="6" s="1"/>
  <c r="K592" i="6" s="1"/>
  <c r="J583" i="6"/>
  <c r="J577" i="6" s="1"/>
  <c r="J582" i="6"/>
  <c r="I577" i="6"/>
  <c r="J576" i="6"/>
  <c r="J559" i="6" s="1"/>
  <c r="J543" i="6" s="1"/>
  <c r="I576" i="6"/>
  <c r="I559" i="6" s="1"/>
  <c r="J569" i="6"/>
  <c r="I569" i="6"/>
  <c r="J568" i="6"/>
  <c r="I568" i="6"/>
  <c r="J561" i="6"/>
  <c r="I561" i="6"/>
  <c r="J560" i="6"/>
  <c r="I560" i="6"/>
  <c r="P557" i="6"/>
  <c r="L557" i="6"/>
  <c r="O557" i="6" s="1"/>
  <c r="P556" i="6"/>
  <c r="O556" i="6"/>
  <c r="N555" i="6"/>
  <c r="N545" i="6" s="1"/>
  <c r="N544" i="6" s="1"/>
  <c r="M555" i="6"/>
  <c r="P555" i="6" s="1"/>
  <c r="P549" i="6"/>
  <c r="N549" i="6"/>
  <c r="L549" i="6"/>
  <c r="P548" i="6"/>
  <c r="O548" i="6"/>
  <c r="N547" i="6"/>
  <c r="M547" i="6"/>
  <c r="P547" i="6" s="1"/>
  <c r="P546" i="6"/>
  <c r="N546" i="6"/>
  <c r="M546" i="6"/>
  <c r="O545" i="6"/>
  <c r="L545" i="6"/>
  <c r="I542" i="6"/>
  <c r="K542" i="6" s="1"/>
  <c r="I541" i="6"/>
  <c r="K541" i="6" s="1"/>
  <c r="I540" i="6"/>
  <c r="K540" i="6" s="1"/>
  <c r="I539" i="6"/>
  <c r="I538" i="6"/>
  <c r="K538" i="6" s="1"/>
  <c r="I537" i="6"/>
  <c r="I522" i="6" s="1"/>
  <c r="P535" i="6"/>
  <c r="L535" i="6"/>
  <c r="O535" i="6" s="1"/>
  <c r="P534" i="6"/>
  <c r="O534" i="6"/>
  <c r="P533" i="6"/>
  <c r="N533" i="6"/>
  <c r="M533" i="6"/>
  <c r="P528" i="6"/>
  <c r="N528" i="6"/>
  <c r="L528" i="6"/>
  <c r="L526" i="6" s="1"/>
  <c r="P527" i="6"/>
  <c r="O527" i="6"/>
  <c r="P526" i="6"/>
  <c r="N526" i="6"/>
  <c r="M526" i="6"/>
  <c r="P525" i="6"/>
  <c r="M525" i="6"/>
  <c r="O524" i="6"/>
  <c r="N524" i="6"/>
  <c r="M524" i="6"/>
  <c r="M523" i="6" s="1"/>
  <c r="P523" i="6" s="1"/>
  <c r="L524" i="6"/>
  <c r="K517" i="6"/>
  <c r="J517" i="6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N505" i="6" s="1"/>
  <c r="P506" i="6"/>
  <c r="O506" i="6"/>
  <c r="O505" i="6"/>
  <c r="M505" i="6"/>
  <c r="P505" i="6" s="1"/>
  <c r="L505" i="6"/>
  <c r="N504" i="6"/>
  <c r="N502" i="6" s="1"/>
  <c r="M504" i="6"/>
  <c r="P504" i="6" s="1"/>
  <c r="L504" i="6"/>
  <c r="O504" i="6" s="1"/>
  <c r="N503" i="6"/>
  <c r="M503" i="6"/>
  <c r="L503" i="6"/>
  <c r="O503" i="6" s="1"/>
  <c r="L502" i="6"/>
  <c r="O502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P472" i="6"/>
  <c r="N472" i="6"/>
  <c r="L472" i="6"/>
  <c r="O472" i="6" s="1"/>
  <c r="P471" i="6"/>
  <c r="O471" i="6"/>
  <c r="N470" i="6"/>
  <c r="M470" i="6"/>
  <c r="P470" i="6" s="1"/>
  <c r="N469" i="6"/>
  <c r="M469" i="6"/>
  <c r="P469" i="6" s="1"/>
  <c r="N468" i="6"/>
  <c r="N467" i="6" s="1"/>
  <c r="M468" i="6"/>
  <c r="L468" i="6"/>
  <c r="O468" i="6" s="1"/>
  <c r="J466" i="6"/>
  <c r="I466" i="6"/>
  <c r="K466" i="6" s="1"/>
  <c r="J465" i="6"/>
  <c r="I465" i="6"/>
  <c r="K465" i="6" s="1"/>
  <c r="I464" i="6"/>
  <c r="I463" i="6"/>
  <c r="I462" i="6"/>
  <c r="K462" i="6" s="1"/>
  <c r="I460" i="6"/>
  <c r="K458" i="6"/>
  <c r="P456" i="6"/>
  <c r="L456" i="6"/>
  <c r="O456" i="6" s="1"/>
  <c r="P455" i="6"/>
  <c r="O455" i="6"/>
  <c r="P454" i="6"/>
  <c r="N454" i="6"/>
  <c r="M454" i="6"/>
  <c r="P449" i="6"/>
  <c r="N449" i="6"/>
  <c r="L449" i="6"/>
  <c r="O449" i="6" s="1"/>
  <c r="P448" i="6"/>
  <c r="O448" i="6"/>
  <c r="P447" i="6"/>
  <c r="N447" i="6"/>
  <c r="M447" i="6"/>
  <c r="N446" i="6"/>
  <c r="M446" i="6"/>
  <c r="P446" i="6" s="1"/>
  <c r="N445" i="6"/>
  <c r="N444" i="6" s="1"/>
  <c r="M445" i="6"/>
  <c r="P445" i="6" s="1"/>
  <c r="L445" i="6"/>
  <c r="O445" i="6" s="1"/>
  <c r="M444" i="6"/>
  <c r="P444" i="6" s="1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I433" i="6" s="1"/>
  <c r="J434" i="6"/>
  <c r="P431" i="6"/>
  <c r="L431" i="6"/>
  <c r="L429" i="6" s="1"/>
  <c r="O429" i="6" s="1"/>
  <c r="P430" i="6"/>
  <c r="O430" i="6"/>
  <c r="P429" i="6"/>
  <c r="N429" i="6"/>
  <c r="M429" i="6"/>
  <c r="P424" i="6"/>
  <c r="N424" i="6"/>
  <c r="L424" i="6"/>
  <c r="O424" i="6" s="1"/>
  <c r="P423" i="6"/>
  <c r="O423" i="6"/>
  <c r="P422" i="6"/>
  <c r="N422" i="6"/>
  <c r="M422" i="6"/>
  <c r="N421" i="6"/>
  <c r="M421" i="6"/>
  <c r="P421" i="6" s="1"/>
  <c r="N420" i="6"/>
  <c r="N419" i="6" s="1"/>
  <c r="M420" i="6"/>
  <c r="P420" i="6" s="1"/>
  <c r="L420" i="6"/>
  <c r="M419" i="6"/>
  <c r="J418" i="6"/>
  <c r="K413" i="6"/>
  <c r="K412" i="6"/>
  <c r="N410" i="6"/>
  <c r="N408" i="6" s="1"/>
  <c r="M410" i="6"/>
  <c r="L410" i="6"/>
  <c r="O410" i="6" s="1"/>
  <c r="P409" i="6"/>
  <c r="O409" i="6"/>
  <c r="N407" i="6"/>
  <c r="N405" i="6" s="1"/>
  <c r="M407" i="6"/>
  <c r="L407" i="6"/>
  <c r="O407" i="6" s="1"/>
  <c r="P406" i="6"/>
  <c r="O406" i="6"/>
  <c r="P403" i="6"/>
  <c r="N403" i="6"/>
  <c r="M403" i="6"/>
  <c r="L403" i="6"/>
  <c r="K401" i="6"/>
  <c r="J401" i="6"/>
  <c r="I401" i="6"/>
  <c r="K400" i="6"/>
  <c r="K399" i="6"/>
  <c r="N397" i="6"/>
  <c r="N395" i="6" s="1"/>
  <c r="M397" i="6"/>
  <c r="P397" i="6" s="1"/>
  <c r="L397" i="6"/>
  <c r="L395" i="6" s="1"/>
  <c r="O395" i="6" s="1"/>
  <c r="P396" i="6"/>
  <c r="O396" i="6"/>
  <c r="N394" i="6"/>
  <c r="N392" i="6" s="1"/>
  <c r="M394" i="6"/>
  <c r="P394" i="6" s="1"/>
  <c r="L394" i="6"/>
  <c r="L392" i="6" s="1"/>
  <c r="O392" i="6" s="1"/>
  <c r="P393" i="6"/>
  <c r="O393" i="6"/>
  <c r="N390" i="6"/>
  <c r="M390" i="6"/>
  <c r="P390" i="6" s="1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L351" i="6" s="1"/>
  <c r="P352" i="6"/>
  <c r="O352" i="6"/>
  <c r="N350" i="6"/>
  <c r="N348" i="6" s="1"/>
  <c r="M350" i="6"/>
  <c r="M348" i="6" s="1"/>
  <c r="L350" i="6"/>
  <c r="L348" i="6" s="1"/>
  <c r="P349" i="6"/>
  <c r="O349" i="6"/>
  <c r="N346" i="6"/>
  <c r="M346" i="6"/>
  <c r="P346" i="6" s="1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L334" i="6" s="1"/>
  <c r="O334" i="6" s="1"/>
  <c r="P335" i="6"/>
  <c r="O335" i="6"/>
  <c r="N333" i="6"/>
  <c r="N331" i="6" s="1"/>
  <c r="M333" i="6"/>
  <c r="L333" i="6"/>
  <c r="L331" i="6" s="1"/>
  <c r="P332" i="6"/>
  <c r="O332" i="6"/>
  <c r="N329" i="6"/>
  <c r="M329" i="6"/>
  <c r="P329" i="6" s="1"/>
  <c r="L329" i="6"/>
  <c r="I327" i="6"/>
  <c r="I325" i="6"/>
  <c r="K325" i="6" s="1"/>
  <c r="N323" i="6"/>
  <c r="N321" i="6" s="1"/>
  <c r="M323" i="6"/>
  <c r="P323" i="6" s="1"/>
  <c r="L323" i="6"/>
  <c r="P322" i="6"/>
  <c r="O322" i="6"/>
  <c r="N320" i="6"/>
  <c r="M320" i="6"/>
  <c r="L320" i="6"/>
  <c r="P319" i="6"/>
  <c r="O319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L304" i="6" s="1"/>
  <c r="O304" i="6" s="1"/>
  <c r="P305" i="6"/>
  <c r="O305" i="6"/>
  <c r="N303" i="6"/>
  <c r="N301" i="6" s="1"/>
  <c r="M303" i="6"/>
  <c r="L303" i="6"/>
  <c r="L301" i="6" s="1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K288" i="6" s="1"/>
  <c r="I287" i="6"/>
  <c r="K287" i="6" s="1"/>
  <c r="N285" i="6"/>
  <c r="N283" i="6" s="1"/>
  <c r="M285" i="6"/>
  <c r="M283" i="6" s="1"/>
  <c r="P283" i="6" s="1"/>
  <c r="L285" i="6"/>
  <c r="L283" i="6" s="1"/>
  <c r="O283" i="6" s="1"/>
  <c r="P284" i="6"/>
  <c r="O284" i="6"/>
  <c r="N282" i="6"/>
  <c r="N280" i="6" s="1"/>
  <c r="M282" i="6"/>
  <c r="M280" i="6" s="1"/>
  <c r="L282" i="6"/>
  <c r="L280" i="6" s="1"/>
  <c r="P281" i="6"/>
  <c r="O281" i="6"/>
  <c r="P278" i="6"/>
  <c r="N278" i="6"/>
  <c r="M278" i="6"/>
  <c r="L278" i="6"/>
  <c r="J276" i="6"/>
  <c r="I271" i="6"/>
  <c r="K271" i="6" s="1"/>
  <c r="N269" i="6"/>
  <c r="N267" i="6" s="1"/>
  <c r="M269" i="6"/>
  <c r="P269" i="6" s="1"/>
  <c r="L269" i="6"/>
  <c r="L267" i="6" s="1"/>
  <c r="O267" i="6" s="1"/>
  <c r="P268" i="6"/>
  <c r="O268" i="6"/>
  <c r="N266" i="6"/>
  <c r="N264" i="6" s="1"/>
  <c r="M266" i="6"/>
  <c r="L266" i="6"/>
  <c r="L264" i="6" s="1"/>
  <c r="P265" i="6"/>
  <c r="O265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N227" i="6" s="1"/>
  <c r="J237" i="6"/>
  <c r="K236" i="6"/>
  <c r="J236" i="6"/>
  <c r="I236" i="6"/>
  <c r="K235" i="6"/>
  <c r="J235" i="6"/>
  <c r="I235" i="6"/>
  <c r="J233" i="6"/>
  <c r="N231" i="6"/>
  <c r="N230" i="6"/>
  <c r="N229" i="6"/>
  <c r="N228" i="6"/>
  <c r="J226" i="6"/>
  <c r="J180" i="6" s="1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I190" i="6" s="1"/>
  <c r="P191" i="6"/>
  <c r="L191" i="6"/>
  <c r="O191" i="6" s="1"/>
  <c r="J190" i="6"/>
  <c r="N189" i="6"/>
  <c r="N187" i="6" s="1"/>
  <c r="M189" i="6"/>
  <c r="P189" i="6" s="1"/>
  <c r="L189" i="6"/>
  <c r="P188" i="6"/>
  <c r="O188" i="6"/>
  <c r="N186" i="6"/>
  <c r="N184" i="6" s="1"/>
  <c r="M186" i="6"/>
  <c r="L186" i="6"/>
  <c r="P185" i="6"/>
  <c r="O185" i="6"/>
  <c r="O182" i="6"/>
  <c r="N182" i="6"/>
  <c r="M182" i="6"/>
  <c r="L182" i="6"/>
  <c r="J177" i="6"/>
  <c r="I176" i="6"/>
  <c r="J174" i="6"/>
  <c r="N173" i="6"/>
  <c r="N171" i="6" s="1"/>
  <c r="M173" i="6"/>
  <c r="P173" i="6" s="1"/>
  <c r="L173" i="6"/>
  <c r="P172" i="6"/>
  <c r="O172" i="6"/>
  <c r="N170" i="6"/>
  <c r="N168" i="6" s="1"/>
  <c r="M170" i="6"/>
  <c r="M168" i="6" s="1"/>
  <c r="L170" i="6"/>
  <c r="P169" i="6"/>
  <c r="O169" i="6"/>
  <c r="O166" i="6"/>
  <c r="N166" i="6"/>
  <c r="M166" i="6"/>
  <c r="L166" i="6"/>
  <c r="J164" i="6"/>
  <c r="I159" i="6"/>
  <c r="K159" i="6" s="1"/>
  <c r="N157" i="6"/>
  <c r="N155" i="6" s="1"/>
  <c r="M157" i="6"/>
  <c r="P157" i="6" s="1"/>
  <c r="L157" i="6"/>
  <c r="P156" i="6"/>
  <c r="O156" i="6"/>
  <c r="N154" i="6"/>
  <c r="N152" i="6" s="1"/>
  <c r="M154" i="6"/>
  <c r="L154" i="6"/>
  <c r="P153" i="6"/>
  <c r="O153" i="6"/>
  <c r="O150" i="6"/>
  <c r="N150" i="6"/>
  <c r="M150" i="6"/>
  <c r="L150" i="6"/>
  <c r="J148" i="6"/>
  <c r="I146" i="6"/>
  <c r="K146" i="6" s="1"/>
  <c r="I145" i="6"/>
  <c r="I143" i="6" s="1"/>
  <c r="I131" i="6" s="1"/>
  <c r="I144" i="6"/>
  <c r="K144" i="6" s="1"/>
  <c r="N140" i="6"/>
  <c r="M140" i="6"/>
  <c r="L140" i="6"/>
  <c r="L138" i="6" s="1"/>
  <c r="P139" i="6"/>
  <c r="O139" i="6"/>
  <c r="N137" i="6"/>
  <c r="N135" i="6" s="1"/>
  <c r="M137" i="6"/>
  <c r="L137" i="6"/>
  <c r="P136" i="6"/>
  <c r="O136" i="6"/>
  <c r="P133" i="6"/>
  <c r="N133" i="6"/>
  <c r="M133" i="6"/>
  <c r="L133" i="6"/>
  <c r="J130" i="6"/>
  <c r="N127" i="6"/>
  <c r="N125" i="6" s="1"/>
  <c r="M127" i="6"/>
  <c r="M125" i="6" s="1"/>
  <c r="L127" i="6"/>
  <c r="P126" i="6"/>
  <c r="O126" i="6"/>
  <c r="N124" i="6"/>
  <c r="N122" i="6" s="1"/>
  <c r="M124" i="6"/>
  <c r="L124" i="6"/>
  <c r="P123" i="6"/>
  <c r="O123" i="6"/>
  <c r="O120" i="6"/>
  <c r="N120" i="6"/>
  <c r="M120" i="6"/>
  <c r="L120" i="6"/>
  <c r="J118" i="6"/>
  <c r="K118" i="6" s="1"/>
  <c r="I116" i="6"/>
  <c r="K116" i="6" s="1"/>
  <c r="I115" i="6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I87" i="6" s="1"/>
  <c r="J98" i="6"/>
  <c r="I98" i="6"/>
  <c r="I86" i="6" s="1"/>
  <c r="N96" i="6"/>
  <c r="N94" i="6" s="1"/>
  <c r="M96" i="6"/>
  <c r="P96" i="6" s="1"/>
  <c r="L96" i="6"/>
  <c r="P95" i="6"/>
  <c r="O95" i="6"/>
  <c r="N93" i="6"/>
  <c r="N91" i="6" s="1"/>
  <c r="M93" i="6"/>
  <c r="M91" i="6" s="1"/>
  <c r="L93" i="6"/>
  <c r="P92" i="6"/>
  <c r="O92" i="6"/>
  <c r="O89" i="6"/>
  <c r="N89" i="6"/>
  <c r="M89" i="6"/>
  <c r="L89" i="6"/>
  <c r="J87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65" i="6" s="1"/>
  <c r="J76" i="6"/>
  <c r="N74" i="6"/>
  <c r="N72" i="6" s="1"/>
  <c r="M74" i="6"/>
  <c r="L74" i="6"/>
  <c r="L72" i="6" s="1"/>
  <c r="O72" i="6" s="1"/>
  <c r="P73" i="6"/>
  <c r="O73" i="6"/>
  <c r="N71" i="6"/>
  <c r="N69" i="6" s="1"/>
  <c r="M71" i="6"/>
  <c r="L71" i="6"/>
  <c r="O71" i="6" s="1"/>
  <c r="P70" i="6"/>
  <c r="O70" i="6"/>
  <c r="P67" i="6"/>
  <c r="N67" i="6"/>
  <c r="M67" i="6"/>
  <c r="L67" i="6"/>
  <c r="J64" i="6"/>
  <c r="N61" i="6"/>
  <c r="N59" i="6" s="1"/>
  <c r="M61" i="6"/>
  <c r="M59" i="6" s="1"/>
  <c r="L61" i="6"/>
  <c r="P60" i="6"/>
  <c r="O60" i="6"/>
  <c r="N58" i="6"/>
  <c r="N56" i="6" s="1"/>
  <c r="M58" i="6"/>
  <c r="L58" i="6"/>
  <c r="P57" i="6"/>
  <c r="O57" i="6"/>
  <c r="O54" i="6"/>
  <c r="N54" i="6"/>
  <c r="M54" i="6"/>
  <c r="L54" i="6"/>
  <c r="N49" i="6"/>
  <c r="N47" i="6" s="1"/>
  <c r="M49" i="6"/>
  <c r="L49" i="6"/>
  <c r="O49" i="6" s="1"/>
  <c r="P48" i="6"/>
  <c r="O48" i="6"/>
  <c r="N46" i="6"/>
  <c r="M46" i="6"/>
  <c r="L46" i="6"/>
  <c r="L44" i="6" s="1"/>
  <c r="P45" i="6"/>
  <c r="O45" i="6"/>
  <c r="P42" i="6"/>
  <c r="N42" i="6"/>
  <c r="M42" i="6"/>
  <c r="L42" i="6"/>
  <c r="N36" i="6"/>
  <c r="M36" i="6"/>
  <c r="P36" i="6" s="1"/>
  <c r="P35" i="6"/>
  <c r="N35" i="6"/>
  <c r="N34" i="6" s="1"/>
  <c r="M35" i="6"/>
  <c r="L35" i="6"/>
  <c r="M34" i="6"/>
  <c r="P34" i="6" s="1"/>
  <c r="P33" i="6"/>
  <c r="N33" i="6"/>
  <c r="N30" i="6" s="1"/>
  <c r="M33" i="6"/>
  <c r="O32" i="6"/>
  <c r="N32" i="6"/>
  <c r="M32" i="6"/>
  <c r="L32" i="6"/>
  <c r="N31" i="6"/>
  <c r="M30" i="6"/>
  <c r="P30" i="6" s="1"/>
  <c r="N29" i="6"/>
  <c r="N28" i="6" s="1"/>
  <c r="L29" i="6"/>
  <c r="N25" i="6"/>
  <c r="M25" i="6"/>
  <c r="P25" i="6" s="1"/>
  <c r="L25" i="6"/>
  <c r="O25" i="6" s="1"/>
  <c r="P22" i="6"/>
  <c r="O22" i="6"/>
  <c r="N22" i="6"/>
  <c r="N19" i="6" s="1"/>
  <c r="M22" i="6"/>
  <c r="L22" i="6"/>
  <c r="M19" i="6"/>
  <c r="P19" i="6" s="1"/>
  <c r="L19" i="6"/>
  <c r="O19" i="6" s="1"/>
  <c r="N15" i="6"/>
  <c r="M12" i="6"/>
  <c r="P12" i="6" s="1"/>
  <c r="L12" i="6"/>
  <c r="O12" i="6" s="1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P809" i="5"/>
  <c r="O809" i="5"/>
  <c r="P808" i="5"/>
  <c r="N808" i="5"/>
  <c r="M808" i="5"/>
  <c r="L808" i="5"/>
  <c r="O808" i="5" s="1"/>
  <c r="O807" i="5"/>
  <c r="M807" i="5"/>
  <c r="L807" i="5"/>
  <c r="N806" i="5"/>
  <c r="N805" i="5" s="1"/>
  <c r="M806" i="5"/>
  <c r="P806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L791" i="5"/>
  <c r="L789" i="5" s="1"/>
  <c r="O789" i="5" s="1"/>
  <c r="P790" i="5"/>
  <c r="O790" i="5"/>
  <c r="P789" i="5"/>
  <c r="M789" i="5"/>
  <c r="M788" i="5"/>
  <c r="P787" i="5"/>
  <c r="N787" i="5"/>
  <c r="M787" i="5"/>
  <c r="L787" i="5"/>
  <c r="P782" i="5"/>
  <c r="O782" i="5"/>
  <c r="P781" i="5"/>
  <c r="O781" i="5"/>
  <c r="N780" i="5"/>
  <c r="M780" i="5"/>
  <c r="P780" i="5" s="1"/>
  <c r="L780" i="5"/>
  <c r="O780" i="5" s="1"/>
  <c r="P775" i="5"/>
  <c r="O775" i="5"/>
  <c r="N775" i="5"/>
  <c r="P774" i="5"/>
  <c r="O774" i="5"/>
  <c r="O773" i="5"/>
  <c r="N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P758" i="5"/>
  <c r="O758" i="5"/>
  <c r="O757" i="5"/>
  <c r="N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P741" i="5"/>
  <c r="O741" i="5"/>
  <c r="O740" i="5"/>
  <c r="N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N695" i="5"/>
  <c r="M695" i="5"/>
  <c r="P695" i="5" s="1"/>
  <c r="L695" i="5"/>
  <c r="O695" i="5" s="1"/>
  <c r="P690" i="5"/>
  <c r="N690" i="5"/>
  <c r="L690" i="5"/>
  <c r="O690" i="5" s="1"/>
  <c r="P688" i="5"/>
  <c r="N688" i="5"/>
  <c r="M688" i="5"/>
  <c r="N687" i="5"/>
  <c r="M687" i="5"/>
  <c r="P686" i="5"/>
  <c r="N686" i="5"/>
  <c r="N685" i="5" s="1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2" i="5" s="1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O660" i="5" s="1"/>
  <c r="P659" i="5"/>
  <c r="O659" i="5"/>
  <c r="N658" i="5"/>
  <c r="M658" i="5"/>
  <c r="P658" i="5" s="1"/>
  <c r="P657" i="5"/>
  <c r="N657" i="5"/>
  <c r="M657" i="5"/>
  <c r="O656" i="5"/>
  <c r="N656" i="5"/>
  <c r="M656" i="5"/>
  <c r="P656" i="5" s="1"/>
  <c r="L656" i="5"/>
  <c r="P655" i="5"/>
  <c r="N655" i="5"/>
  <c r="M655" i="5"/>
  <c r="J654" i="5"/>
  <c r="K652" i="5"/>
  <c r="J652" i="5"/>
  <c r="J651" i="5"/>
  <c r="J628" i="5" s="1"/>
  <c r="I651" i="5"/>
  <c r="I628" i="5" s="1"/>
  <c r="K628" i="5" s="1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P639" i="5"/>
  <c r="N639" i="5"/>
  <c r="M639" i="5"/>
  <c r="P634" i="5"/>
  <c r="N634" i="5"/>
  <c r="L634" i="5"/>
  <c r="P633" i="5"/>
  <c r="O633" i="5"/>
  <c r="N632" i="5"/>
  <c r="M632" i="5"/>
  <c r="P632" i="5" s="1"/>
  <c r="N631" i="5"/>
  <c r="N629" i="5" s="1"/>
  <c r="M631" i="5"/>
  <c r="P631" i="5" s="1"/>
  <c r="N630" i="5"/>
  <c r="M630" i="5"/>
  <c r="P630" i="5" s="1"/>
  <c r="L630" i="5"/>
  <c r="O630" i="5" s="1"/>
  <c r="J621" i="5"/>
  <c r="I621" i="5"/>
  <c r="K621" i="5" s="1"/>
  <c r="J620" i="5"/>
  <c r="I620" i="5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K594" i="5" s="1"/>
  <c r="J593" i="5"/>
  <c r="J592" i="5" s="1"/>
  <c r="I593" i="5"/>
  <c r="K593" i="5" s="1"/>
  <c r="J583" i="5"/>
  <c r="J582" i="5"/>
  <c r="J576" i="5" s="1"/>
  <c r="J577" i="5"/>
  <c r="I577" i="5"/>
  <c r="K577" i="5" s="1"/>
  <c r="I576" i="5"/>
  <c r="I559" i="5" s="1"/>
  <c r="J569" i="5"/>
  <c r="I569" i="5"/>
  <c r="K569" i="5" s="1"/>
  <c r="J568" i="5"/>
  <c r="I568" i="5"/>
  <c r="K568" i="5" s="1"/>
  <c r="J561" i="5"/>
  <c r="I561" i="5"/>
  <c r="J560" i="5"/>
  <c r="I560" i="5"/>
  <c r="K560" i="5" s="1"/>
  <c r="J559" i="5"/>
  <c r="J543" i="5" s="1"/>
  <c r="P557" i="5"/>
  <c r="L557" i="5"/>
  <c r="O557" i="5" s="1"/>
  <c r="P556" i="5"/>
  <c r="O556" i="5"/>
  <c r="N555" i="5"/>
  <c r="M555" i="5"/>
  <c r="P555" i="5" s="1"/>
  <c r="P549" i="5"/>
  <c r="N549" i="5"/>
  <c r="L549" i="5"/>
  <c r="O549" i="5" s="1"/>
  <c r="P548" i="5"/>
  <c r="O548" i="5"/>
  <c r="P547" i="5"/>
  <c r="N547" i="5"/>
  <c r="M547" i="5"/>
  <c r="N546" i="5"/>
  <c r="M546" i="5"/>
  <c r="P546" i="5" s="1"/>
  <c r="N545" i="5"/>
  <c r="N544" i="5" s="1"/>
  <c r="L545" i="5"/>
  <c r="O545" i="5" s="1"/>
  <c r="I542" i="5"/>
  <c r="K542" i="5" s="1"/>
  <c r="I541" i="5"/>
  <c r="K541" i="5" s="1"/>
  <c r="I540" i="5"/>
  <c r="K540" i="5" s="1"/>
  <c r="I539" i="5"/>
  <c r="I538" i="5"/>
  <c r="K538" i="5" s="1"/>
  <c r="I537" i="5"/>
  <c r="K537" i="5" s="1"/>
  <c r="P535" i="5"/>
  <c r="L535" i="5"/>
  <c r="L533" i="5" s="1"/>
  <c r="O533" i="5" s="1"/>
  <c r="P534" i="5"/>
  <c r="O534" i="5"/>
  <c r="N533" i="5"/>
  <c r="M533" i="5"/>
  <c r="P533" i="5" s="1"/>
  <c r="P528" i="5"/>
  <c r="N528" i="5"/>
  <c r="N525" i="5" s="1"/>
  <c r="L528" i="5"/>
  <c r="L526" i="5" s="1"/>
  <c r="O526" i="5" s="1"/>
  <c r="P527" i="5"/>
  <c r="O527" i="5"/>
  <c r="P526" i="5"/>
  <c r="M526" i="5"/>
  <c r="M525" i="5"/>
  <c r="N524" i="5"/>
  <c r="N523" i="5" s="1"/>
  <c r="M524" i="5"/>
  <c r="P524" i="5" s="1"/>
  <c r="L524" i="5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N504" i="5" s="1"/>
  <c r="N502" i="5" s="1"/>
  <c r="P506" i="5"/>
  <c r="O506" i="5"/>
  <c r="N505" i="5"/>
  <c r="M505" i="5"/>
  <c r="P505" i="5" s="1"/>
  <c r="L505" i="5"/>
  <c r="O505" i="5" s="1"/>
  <c r="M504" i="5"/>
  <c r="P504" i="5" s="1"/>
  <c r="L504" i="5"/>
  <c r="O504" i="5" s="1"/>
  <c r="P503" i="5"/>
  <c r="N503" i="5"/>
  <c r="M503" i="5"/>
  <c r="L503" i="5"/>
  <c r="O503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P472" i="5"/>
  <c r="N472" i="5"/>
  <c r="N469" i="5" s="1"/>
  <c r="N467" i="5" s="1"/>
  <c r="L472" i="5"/>
  <c r="O472" i="5" s="1"/>
  <c r="P471" i="5"/>
  <c r="O471" i="5"/>
  <c r="N470" i="5"/>
  <c r="M470" i="5"/>
  <c r="P470" i="5" s="1"/>
  <c r="M469" i="5"/>
  <c r="P469" i="5" s="1"/>
  <c r="P468" i="5"/>
  <c r="N468" i="5"/>
  <c r="M468" i="5"/>
  <c r="L468" i="5"/>
  <c r="O468" i="5" s="1"/>
  <c r="J466" i="5"/>
  <c r="I466" i="5"/>
  <c r="K466" i="5" s="1"/>
  <c r="J465" i="5"/>
  <c r="I465" i="5"/>
  <c r="K465" i="5" s="1"/>
  <c r="I464" i="5"/>
  <c r="I463" i="5"/>
  <c r="I462" i="5"/>
  <c r="K462" i="5" s="1"/>
  <c r="I460" i="5"/>
  <c r="K460" i="5" s="1"/>
  <c r="K458" i="5"/>
  <c r="P456" i="5"/>
  <c r="L456" i="5"/>
  <c r="L454" i="5" s="1"/>
  <c r="O454" i="5" s="1"/>
  <c r="P455" i="5"/>
  <c r="O455" i="5"/>
  <c r="P454" i="5"/>
  <c r="N454" i="5"/>
  <c r="M454" i="5"/>
  <c r="P449" i="5"/>
  <c r="N449" i="5"/>
  <c r="L449" i="5"/>
  <c r="P448" i="5"/>
  <c r="O448" i="5"/>
  <c r="N447" i="5"/>
  <c r="M447" i="5"/>
  <c r="P447" i="5" s="1"/>
  <c r="N446" i="5"/>
  <c r="N444" i="5" s="1"/>
  <c r="M446" i="5"/>
  <c r="P446" i="5" s="1"/>
  <c r="N445" i="5"/>
  <c r="M445" i="5"/>
  <c r="P445" i="5" s="1"/>
  <c r="L445" i="5"/>
  <c r="O445" i="5" s="1"/>
  <c r="J443" i="5"/>
  <c r="J442" i="5"/>
  <c r="I441" i="5"/>
  <c r="K441" i="5" s="1"/>
  <c r="I440" i="5"/>
  <c r="K440" i="5" s="1"/>
  <c r="I439" i="5"/>
  <c r="K439" i="5" s="1"/>
  <c r="I438" i="5"/>
  <c r="I437" i="5"/>
  <c r="K437" i="5" s="1"/>
  <c r="I435" i="5"/>
  <c r="K435" i="5" s="1"/>
  <c r="J434" i="5"/>
  <c r="P431" i="5"/>
  <c r="L431" i="5"/>
  <c r="L429" i="5" s="1"/>
  <c r="O429" i="5" s="1"/>
  <c r="P430" i="5"/>
  <c r="O430" i="5"/>
  <c r="P429" i="5"/>
  <c r="N429" i="5"/>
  <c r="M429" i="5"/>
  <c r="P424" i="5"/>
  <c r="N424" i="5"/>
  <c r="L424" i="5"/>
  <c r="P423" i="5"/>
  <c r="O423" i="5"/>
  <c r="N422" i="5"/>
  <c r="M422" i="5"/>
  <c r="P422" i="5" s="1"/>
  <c r="N421" i="5"/>
  <c r="N419" i="5" s="1"/>
  <c r="M421" i="5"/>
  <c r="P421" i="5" s="1"/>
  <c r="N420" i="5"/>
  <c r="M420" i="5"/>
  <c r="P420" i="5" s="1"/>
  <c r="L420" i="5"/>
  <c r="O420" i="5" s="1"/>
  <c r="J418" i="5"/>
  <c r="K413" i="5"/>
  <c r="K412" i="5"/>
  <c r="N410" i="5"/>
  <c r="N408" i="5" s="1"/>
  <c r="M410" i="5"/>
  <c r="P410" i="5" s="1"/>
  <c r="L410" i="5"/>
  <c r="O410" i="5" s="1"/>
  <c r="P409" i="5"/>
  <c r="O409" i="5"/>
  <c r="N407" i="5"/>
  <c r="N405" i="5" s="1"/>
  <c r="M407" i="5"/>
  <c r="P407" i="5" s="1"/>
  <c r="L407" i="5"/>
  <c r="O407" i="5" s="1"/>
  <c r="P406" i="5"/>
  <c r="O406" i="5"/>
  <c r="O403" i="5"/>
  <c r="N403" i="5"/>
  <c r="M403" i="5"/>
  <c r="P403" i="5" s="1"/>
  <c r="L403" i="5"/>
  <c r="K401" i="5"/>
  <c r="J401" i="5"/>
  <c r="I401" i="5"/>
  <c r="K400" i="5"/>
  <c r="K399" i="5"/>
  <c r="N397" i="5"/>
  <c r="N395" i="5" s="1"/>
  <c r="M397" i="5"/>
  <c r="P397" i="5" s="1"/>
  <c r="L397" i="5"/>
  <c r="P396" i="5"/>
  <c r="O396" i="5"/>
  <c r="N394" i="5"/>
  <c r="N392" i="5" s="1"/>
  <c r="M394" i="5"/>
  <c r="P394" i="5" s="1"/>
  <c r="L394" i="5"/>
  <c r="P393" i="5"/>
  <c r="O393" i="5"/>
  <c r="N390" i="5"/>
  <c r="M390" i="5"/>
  <c r="P390" i="5" s="1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L350" i="5"/>
  <c r="P349" i="5"/>
  <c r="O349" i="5"/>
  <c r="N346" i="5"/>
  <c r="M346" i="5"/>
  <c r="P346" i="5" s="1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P335" i="5"/>
  <c r="O335" i="5"/>
  <c r="N333" i="5"/>
  <c r="N331" i="5" s="1"/>
  <c r="M333" i="5"/>
  <c r="L333" i="5"/>
  <c r="P332" i="5"/>
  <c r="O332" i="5"/>
  <c r="N329" i="5"/>
  <c r="M329" i="5"/>
  <c r="P329" i="5" s="1"/>
  <c r="L329" i="5"/>
  <c r="O329" i="5" s="1"/>
  <c r="I327" i="5"/>
  <c r="I325" i="5"/>
  <c r="I314" i="5" s="1"/>
  <c r="K314" i="5" s="1"/>
  <c r="N323" i="5"/>
  <c r="N321" i="5" s="1"/>
  <c r="M323" i="5"/>
  <c r="P323" i="5" s="1"/>
  <c r="L323" i="5"/>
  <c r="O323" i="5" s="1"/>
  <c r="P322" i="5"/>
  <c r="O322" i="5"/>
  <c r="N320" i="5"/>
  <c r="N318" i="5" s="1"/>
  <c r="M320" i="5"/>
  <c r="M318" i="5" s="1"/>
  <c r="P318" i="5" s="1"/>
  <c r="L320" i="5"/>
  <c r="L318" i="5" s="1"/>
  <c r="O318" i="5" s="1"/>
  <c r="P319" i="5"/>
  <c r="O319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P306" i="5" s="1"/>
  <c r="L306" i="5"/>
  <c r="P305" i="5"/>
  <c r="O305" i="5"/>
  <c r="N303" i="5"/>
  <c r="N301" i="5" s="1"/>
  <c r="M303" i="5"/>
  <c r="L303" i="5"/>
  <c r="P302" i="5"/>
  <c r="O302" i="5"/>
  <c r="O299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75" i="5" s="1"/>
  <c r="I287" i="5"/>
  <c r="K287" i="5" s="1"/>
  <c r="N285" i="5"/>
  <c r="N283" i="5" s="1"/>
  <c r="M285" i="5"/>
  <c r="L285" i="5"/>
  <c r="O285" i="5" s="1"/>
  <c r="P284" i="5"/>
  <c r="O284" i="5"/>
  <c r="N282" i="5"/>
  <c r="M282" i="5"/>
  <c r="L282" i="5"/>
  <c r="L280" i="5" s="1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P269" i="5" s="1"/>
  <c r="L269" i="5"/>
  <c r="O269" i="5" s="1"/>
  <c r="P268" i="5"/>
  <c r="O268" i="5"/>
  <c r="N266" i="5"/>
  <c r="M266" i="5"/>
  <c r="L266" i="5"/>
  <c r="P265" i="5"/>
  <c r="O265" i="5"/>
  <c r="P262" i="5"/>
  <c r="O262" i="5"/>
  <c r="N262" i="5"/>
  <c r="M262" i="5"/>
  <c r="L262" i="5"/>
  <c r="J260" i="5"/>
  <c r="K258" i="5"/>
  <c r="K257" i="5"/>
  <c r="I255" i="5"/>
  <c r="I248" i="5" s="1"/>
  <c r="K248" i="5" s="1"/>
  <c r="L253" i="5"/>
  <c r="L252" i="5"/>
  <c r="L251" i="5"/>
  <c r="L250" i="5"/>
  <c r="P249" i="5"/>
  <c r="N249" i="5"/>
  <c r="J248" i="5"/>
  <c r="J226" i="5" s="1"/>
  <c r="J180" i="5" s="1"/>
  <c r="K247" i="5"/>
  <c r="K246" i="5"/>
  <c r="I244" i="5"/>
  <c r="I237" i="5" s="1"/>
  <c r="L242" i="5"/>
  <c r="L241" i="5"/>
  <c r="L240" i="5"/>
  <c r="L239" i="5"/>
  <c r="P238" i="5"/>
  <c r="N238" i="5"/>
  <c r="N227" i="5" s="1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I225" i="5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M189" i="5"/>
  <c r="P189" i="5" s="1"/>
  <c r="L189" i="5"/>
  <c r="L187" i="5" s="1"/>
  <c r="O187" i="5" s="1"/>
  <c r="P188" i="5"/>
  <c r="O188" i="5"/>
  <c r="N186" i="5"/>
  <c r="N184" i="5" s="1"/>
  <c r="M186" i="5"/>
  <c r="L186" i="5"/>
  <c r="L184" i="5" s="1"/>
  <c r="P185" i="5"/>
  <c r="O185" i="5"/>
  <c r="N182" i="5"/>
  <c r="M182" i="5"/>
  <c r="P182" i="5" s="1"/>
  <c r="L182" i="5"/>
  <c r="J177" i="5"/>
  <c r="I176" i="5"/>
  <c r="I174" i="5" s="1"/>
  <c r="I164" i="5" s="1"/>
  <c r="J174" i="5"/>
  <c r="N173" i="5"/>
  <c r="N171" i="5" s="1"/>
  <c r="M173" i="5"/>
  <c r="P173" i="5" s="1"/>
  <c r="L173" i="5"/>
  <c r="L171" i="5" s="1"/>
  <c r="O171" i="5" s="1"/>
  <c r="P172" i="5"/>
  <c r="O172" i="5"/>
  <c r="N170" i="5"/>
  <c r="M170" i="5"/>
  <c r="M168" i="5" s="1"/>
  <c r="L170" i="5"/>
  <c r="L168" i="5" s="1"/>
  <c r="P169" i="5"/>
  <c r="O169" i="5"/>
  <c r="N166" i="5"/>
  <c r="M166" i="5"/>
  <c r="P166" i="5" s="1"/>
  <c r="L166" i="5"/>
  <c r="J164" i="5"/>
  <c r="I159" i="5"/>
  <c r="K159" i="5" s="1"/>
  <c r="N157" i="5"/>
  <c r="N155" i="5" s="1"/>
  <c r="M157" i="5"/>
  <c r="P157" i="5" s="1"/>
  <c r="L157" i="5"/>
  <c r="O157" i="5" s="1"/>
  <c r="P156" i="5"/>
  <c r="O156" i="5"/>
  <c r="N154" i="5"/>
  <c r="N152" i="5" s="1"/>
  <c r="M154" i="5"/>
  <c r="M152" i="5" s="1"/>
  <c r="P152" i="5" s="1"/>
  <c r="L154" i="5"/>
  <c r="O154" i="5" s="1"/>
  <c r="P153" i="5"/>
  <c r="O153" i="5"/>
  <c r="O150" i="5"/>
  <c r="N150" i="5"/>
  <c r="M150" i="5"/>
  <c r="P150" i="5" s="1"/>
  <c r="L150" i="5"/>
  <c r="J148" i="5"/>
  <c r="I146" i="5"/>
  <c r="K146" i="5" s="1"/>
  <c r="I145" i="5"/>
  <c r="I143" i="5" s="1"/>
  <c r="I144" i="5"/>
  <c r="K144" i="5" s="1"/>
  <c r="N140" i="5"/>
  <c r="N138" i="5" s="1"/>
  <c r="M140" i="5"/>
  <c r="P140" i="5" s="1"/>
  <c r="L140" i="5"/>
  <c r="O140" i="5" s="1"/>
  <c r="P139" i="5"/>
  <c r="O139" i="5"/>
  <c r="N137" i="5"/>
  <c r="N135" i="5" s="1"/>
  <c r="M137" i="5"/>
  <c r="P137" i="5" s="1"/>
  <c r="L137" i="5"/>
  <c r="O137" i="5" s="1"/>
  <c r="P136" i="5"/>
  <c r="O136" i="5"/>
  <c r="N133" i="5"/>
  <c r="M133" i="5"/>
  <c r="L133" i="5"/>
  <c r="O133" i="5" s="1"/>
  <c r="J130" i="5"/>
  <c r="N127" i="5"/>
  <c r="N125" i="5" s="1"/>
  <c r="M127" i="5"/>
  <c r="P127" i="5" s="1"/>
  <c r="L127" i="5"/>
  <c r="O127" i="5" s="1"/>
  <c r="P126" i="5"/>
  <c r="O126" i="5"/>
  <c r="N124" i="5"/>
  <c r="N122" i="5" s="1"/>
  <c r="M124" i="5"/>
  <c r="M122" i="5" s="1"/>
  <c r="P122" i="5" s="1"/>
  <c r="L124" i="5"/>
  <c r="O124" i="5" s="1"/>
  <c r="P123" i="5"/>
  <c r="O123" i="5"/>
  <c r="P120" i="5"/>
  <c r="O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J98" i="5"/>
  <c r="J86" i="5" s="1"/>
  <c r="I98" i="5"/>
  <c r="I86" i="5" s="1"/>
  <c r="N96" i="5"/>
  <c r="N94" i="5" s="1"/>
  <c r="M96" i="5"/>
  <c r="P96" i="5" s="1"/>
  <c r="L96" i="5"/>
  <c r="L94" i="5" s="1"/>
  <c r="O94" i="5" s="1"/>
  <c r="P95" i="5"/>
  <c r="O95" i="5"/>
  <c r="N93" i="5"/>
  <c r="N91" i="5" s="1"/>
  <c r="M93" i="5"/>
  <c r="L93" i="5"/>
  <c r="L91" i="5" s="1"/>
  <c r="P92" i="5"/>
  <c r="O92" i="5"/>
  <c r="N89" i="5"/>
  <c r="M89" i="5"/>
  <c r="P89" i="5" s="1"/>
  <c r="L89" i="5"/>
  <c r="O89" i="5" s="1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K78" i="5" s="1"/>
  <c r="J77" i="5"/>
  <c r="J76" i="5"/>
  <c r="J64" i="5" s="1"/>
  <c r="N74" i="5"/>
  <c r="N72" i="5" s="1"/>
  <c r="M74" i="5"/>
  <c r="P74" i="5" s="1"/>
  <c r="L74" i="5"/>
  <c r="O74" i="5" s="1"/>
  <c r="P73" i="5"/>
  <c r="O73" i="5"/>
  <c r="N71" i="5"/>
  <c r="M71" i="5"/>
  <c r="M69" i="5" s="1"/>
  <c r="L71" i="5"/>
  <c r="L69" i="5" s="1"/>
  <c r="P70" i="5"/>
  <c r="O70" i="5"/>
  <c r="P67" i="5"/>
  <c r="N67" i="5"/>
  <c r="M67" i="5"/>
  <c r="L67" i="5"/>
  <c r="O67" i="5" s="1"/>
  <c r="J65" i="5"/>
  <c r="N61" i="5"/>
  <c r="N59" i="5" s="1"/>
  <c r="M61" i="5"/>
  <c r="M59" i="5" s="1"/>
  <c r="L61" i="5"/>
  <c r="P60" i="5"/>
  <c r="O60" i="5"/>
  <c r="N58" i="5"/>
  <c r="N56" i="5" s="1"/>
  <c r="M58" i="5"/>
  <c r="L58" i="5"/>
  <c r="L56" i="5" s="1"/>
  <c r="P57" i="5"/>
  <c r="O57" i="5"/>
  <c r="O54" i="5"/>
  <c r="N54" i="5"/>
  <c r="M54" i="5"/>
  <c r="P54" i="5" s="1"/>
  <c r="L54" i="5"/>
  <c r="N49" i="5"/>
  <c r="N47" i="5" s="1"/>
  <c r="M49" i="5"/>
  <c r="P49" i="5" s="1"/>
  <c r="L49" i="5"/>
  <c r="O49" i="5" s="1"/>
  <c r="P48" i="5"/>
  <c r="O48" i="5"/>
  <c r="N46" i="5"/>
  <c r="N44" i="5" s="1"/>
  <c r="M46" i="5"/>
  <c r="M44" i="5" s="1"/>
  <c r="L46" i="5"/>
  <c r="L44" i="5" s="1"/>
  <c r="P45" i="5"/>
  <c r="O45" i="5"/>
  <c r="N42" i="5"/>
  <c r="M42" i="5"/>
  <c r="L42" i="5"/>
  <c r="O42" i="5" s="1"/>
  <c r="P36" i="5"/>
  <c r="N36" i="5"/>
  <c r="M36" i="5"/>
  <c r="O35" i="5"/>
  <c r="N35" i="5"/>
  <c r="N34" i="5" s="1"/>
  <c r="M35" i="5"/>
  <c r="P35" i="5" s="1"/>
  <c r="L35" i="5"/>
  <c r="M34" i="5"/>
  <c r="P34" i="5" s="1"/>
  <c r="P33" i="5"/>
  <c r="M33" i="5"/>
  <c r="M31" i="5" s="1"/>
  <c r="P31" i="5" s="1"/>
  <c r="P32" i="5"/>
  <c r="O32" i="5"/>
  <c r="N32" i="5"/>
  <c r="M32" i="5"/>
  <c r="L32" i="5"/>
  <c r="N29" i="5"/>
  <c r="L29" i="5"/>
  <c r="O29" i="5" s="1"/>
  <c r="P25" i="5"/>
  <c r="N25" i="5"/>
  <c r="M25" i="5"/>
  <c r="L25" i="5"/>
  <c r="N22" i="5"/>
  <c r="M22" i="5"/>
  <c r="L22" i="5"/>
  <c r="O22" i="5" s="1"/>
  <c r="N15" i="5"/>
  <c r="L15" i="5"/>
  <c r="O15" i="5" s="1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P809" i="4"/>
  <c r="O809" i="4"/>
  <c r="P808" i="4"/>
  <c r="O808" i="4"/>
  <c r="N808" i="4"/>
  <c r="M808" i="4"/>
  <c r="L808" i="4"/>
  <c r="O807" i="4"/>
  <c r="N807" i="4"/>
  <c r="M807" i="4"/>
  <c r="P807" i="4" s="1"/>
  <c r="L807" i="4"/>
  <c r="N806" i="4"/>
  <c r="N805" i="4" s="1"/>
  <c r="M806" i="4"/>
  <c r="P806" i="4" s="1"/>
  <c r="L806" i="4"/>
  <c r="O806" i="4" s="1"/>
  <c r="L805" i="4"/>
  <c r="O805" i="4" s="1"/>
  <c r="K804" i="4"/>
  <c r="J804" i="4"/>
  <c r="K802" i="4"/>
  <c r="J801" i="4"/>
  <c r="J800" i="4"/>
  <c r="J785" i="4" s="1"/>
  <c r="I800" i="4"/>
  <c r="P798" i="4"/>
  <c r="O798" i="4"/>
  <c r="P797" i="4"/>
  <c r="O797" i="4"/>
  <c r="P796" i="4"/>
  <c r="O796" i="4"/>
  <c r="N796" i="4"/>
  <c r="M796" i="4"/>
  <c r="L796" i="4"/>
  <c r="P791" i="4"/>
  <c r="N791" i="4"/>
  <c r="N788" i="4" s="1"/>
  <c r="L791" i="4"/>
  <c r="L789" i="4" s="1"/>
  <c r="O789" i="4" s="1"/>
  <c r="P790" i="4"/>
  <c r="O790" i="4"/>
  <c r="P789" i="4"/>
  <c r="N789" i="4"/>
  <c r="M789" i="4"/>
  <c r="M788" i="4"/>
  <c r="P788" i="4" s="1"/>
  <c r="N787" i="4"/>
  <c r="M787" i="4"/>
  <c r="L787" i="4"/>
  <c r="O787" i="4" s="1"/>
  <c r="P782" i="4"/>
  <c r="O782" i="4"/>
  <c r="P781" i="4"/>
  <c r="O781" i="4"/>
  <c r="N780" i="4"/>
  <c r="M780" i="4"/>
  <c r="P780" i="4" s="1"/>
  <c r="L780" i="4"/>
  <c r="O780" i="4" s="1"/>
  <c r="P775" i="4"/>
  <c r="O775" i="4"/>
  <c r="N775" i="4"/>
  <c r="P774" i="4"/>
  <c r="O774" i="4"/>
  <c r="P773" i="4"/>
  <c r="O773" i="4"/>
  <c r="N773" i="4"/>
  <c r="M773" i="4"/>
  <c r="L773" i="4"/>
  <c r="P772" i="4"/>
  <c r="O772" i="4"/>
  <c r="N772" i="4"/>
  <c r="M772" i="4"/>
  <c r="L772" i="4"/>
  <c r="O771" i="4"/>
  <c r="N771" i="4"/>
  <c r="N770" i="4" s="1"/>
  <c r="M771" i="4"/>
  <c r="L771" i="4"/>
  <c r="L770" i="4"/>
  <c r="O770" i="4" s="1"/>
  <c r="K769" i="4"/>
  <c r="J769" i="4"/>
  <c r="P766" i="4"/>
  <c r="O766" i="4"/>
  <c r="P765" i="4"/>
  <c r="O765" i="4"/>
  <c r="N764" i="4"/>
  <c r="M764" i="4"/>
  <c r="P764" i="4" s="1"/>
  <c r="L764" i="4"/>
  <c r="O764" i="4" s="1"/>
  <c r="P759" i="4"/>
  <c r="O759" i="4"/>
  <c r="N759" i="4"/>
  <c r="P758" i="4"/>
  <c r="O758" i="4"/>
  <c r="P757" i="4"/>
  <c r="O757" i="4"/>
  <c r="N757" i="4"/>
  <c r="M757" i="4"/>
  <c r="L757" i="4"/>
  <c r="P756" i="4"/>
  <c r="O756" i="4"/>
  <c r="N756" i="4"/>
  <c r="M756" i="4"/>
  <c r="L756" i="4"/>
  <c r="O755" i="4"/>
  <c r="N755" i="4"/>
  <c r="N754" i="4" s="1"/>
  <c r="M755" i="4"/>
  <c r="L755" i="4"/>
  <c r="L754" i="4"/>
  <c r="O754" i="4" s="1"/>
  <c r="K753" i="4"/>
  <c r="J753" i="4"/>
  <c r="P749" i="4"/>
  <c r="O749" i="4"/>
  <c r="P748" i="4"/>
  <c r="O748" i="4"/>
  <c r="N747" i="4"/>
  <c r="M747" i="4"/>
  <c r="P747" i="4" s="1"/>
  <c r="L747" i="4"/>
  <c r="O747" i="4" s="1"/>
  <c r="P742" i="4"/>
  <c r="O742" i="4"/>
  <c r="N742" i="4"/>
  <c r="P741" i="4"/>
  <c r="O741" i="4"/>
  <c r="P740" i="4"/>
  <c r="O740" i="4"/>
  <c r="N740" i="4"/>
  <c r="M740" i="4"/>
  <c r="L740" i="4"/>
  <c r="P739" i="4"/>
  <c r="O739" i="4"/>
  <c r="N739" i="4"/>
  <c r="M739" i="4"/>
  <c r="L739" i="4"/>
  <c r="O738" i="4"/>
  <c r="N738" i="4"/>
  <c r="N737" i="4" s="1"/>
  <c r="M738" i="4"/>
  <c r="P738" i="4" s="1"/>
  <c r="L738" i="4"/>
  <c r="M737" i="4"/>
  <c r="P737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N695" i="4"/>
  <c r="M695" i="4"/>
  <c r="P695" i="4" s="1"/>
  <c r="L695" i="4"/>
  <c r="O695" i="4" s="1"/>
  <c r="P690" i="4"/>
  <c r="N690" i="4"/>
  <c r="L690" i="4"/>
  <c r="O690" i="4" s="1"/>
  <c r="P688" i="4"/>
  <c r="N688" i="4"/>
  <c r="M688" i="4"/>
  <c r="N687" i="4"/>
  <c r="M687" i="4"/>
  <c r="P687" i="4" s="1"/>
  <c r="N686" i="4"/>
  <c r="M686" i="4"/>
  <c r="P686" i="4" s="1"/>
  <c r="L686" i="4"/>
  <c r="M685" i="4"/>
  <c r="P685" i="4" s="1"/>
  <c r="J679" i="4"/>
  <c r="J678" i="4" s="1"/>
  <c r="I678" i="4"/>
  <c r="K678" i="4" s="1"/>
  <c r="J675" i="4"/>
  <c r="J669" i="4" s="1"/>
  <c r="I671" i="4"/>
  <c r="K671" i="4" s="1"/>
  <c r="I670" i="4"/>
  <c r="K670" i="4" s="1"/>
  <c r="I669" i="4"/>
  <c r="P667" i="4"/>
  <c r="O667" i="4"/>
  <c r="P666" i="4"/>
  <c r="O666" i="4"/>
  <c r="N665" i="4"/>
  <c r="M665" i="4"/>
  <c r="P665" i="4" s="1"/>
  <c r="L665" i="4"/>
  <c r="O665" i="4" s="1"/>
  <c r="N664" i="4"/>
  <c r="P660" i="4"/>
  <c r="N660" i="4"/>
  <c r="N657" i="4" s="1"/>
  <c r="N655" i="4" s="1"/>
  <c r="L660" i="4"/>
  <c r="O660" i="4" s="1"/>
  <c r="P659" i="4"/>
  <c r="O659" i="4"/>
  <c r="N658" i="4"/>
  <c r="M658" i="4"/>
  <c r="P658" i="4" s="1"/>
  <c r="M657" i="4"/>
  <c r="P656" i="4"/>
  <c r="N656" i="4"/>
  <c r="M656" i="4"/>
  <c r="L656" i="4"/>
  <c r="J654" i="4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P639" i="4"/>
  <c r="N639" i="4"/>
  <c r="M639" i="4"/>
  <c r="N638" i="4"/>
  <c r="N637" i="4"/>
  <c r="N634" i="4" s="1"/>
  <c r="P634" i="4"/>
  <c r="L634" i="4"/>
  <c r="L632" i="4" s="1"/>
  <c r="P633" i="4"/>
  <c r="O633" i="4"/>
  <c r="P632" i="4"/>
  <c r="M632" i="4"/>
  <c r="P631" i="4"/>
  <c r="M631" i="4"/>
  <c r="P630" i="4"/>
  <c r="O630" i="4"/>
  <c r="N630" i="4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2" i="4" s="1"/>
  <c r="J596" i="4"/>
  <c r="J595" i="4"/>
  <c r="J594" i="4"/>
  <c r="I594" i="4"/>
  <c r="I593" i="4"/>
  <c r="I592" i="4" s="1"/>
  <c r="J583" i="4"/>
  <c r="J577" i="4" s="1"/>
  <c r="J582" i="4"/>
  <c r="I577" i="4"/>
  <c r="J576" i="4"/>
  <c r="J559" i="4" s="1"/>
  <c r="J543" i="4" s="1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P557" i="4"/>
  <c r="L557" i="4"/>
  <c r="P556" i="4"/>
  <c r="O556" i="4"/>
  <c r="P555" i="4"/>
  <c r="N555" i="4"/>
  <c r="M555" i="4"/>
  <c r="N553" i="4"/>
  <c r="N552" i="4"/>
  <c r="N549" i="4" s="1"/>
  <c r="N547" i="4" s="1"/>
  <c r="P549" i="4"/>
  <c r="L549" i="4"/>
  <c r="O549" i="4" s="1"/>
  <c r="P548" i="4"/>
  <c r="O548" i="4"/>
  <c r="P547" i="4"/>
  <c r="M547" i="4"/>
  <c r="P546" i="4"/>
  <c r="N546" i="4"/>
  <c r="M546" i="4"/>
  <c r="O545" i="4"/>
  <c r="N545" i="4"/>
  <c r="N544" i="4" s="1"/>
  <c r="M545" i="4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P535" i="4"/>
  <c r="L535" i="4"/>
  <c r="L533" i="4" s="1"/>
  <c r="O533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N526" i="4"/>
  <c r="M526" i="4"/>
  <c r="P526" i="4" s="1"/>
  <c r="N525" i="4"/>
  <c r="M525" i="4"/>
  <c r="P525" i="4" s="1"/>
  <c r="N524" i="4"/>
  <c r="N523" i="4" s="1"/>
  <c r="M524" i="4"/>
  <c r="L524" i="4"/>
  <c r="O524" i="4" s="1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M505" i="4"/>
  <c r="P505" i="4" s="1"/>
  <c r="L505" i="4"/>
  <c r="O505" i="4" s="1"/>
  <c r="P504" i="4"/>
  <c r="M504" i="4"/>
  <c r="L504" i="4"/>
  <c r="P503" i="4"/>
  <c r="O503" i="4"/>
  <c r="N503" i="4"/>
  <c r="M503" i="4"/>
  <c r="L503" i="4"/>
  <c r="P502" i="4"/>
  <c r="M502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N477" i="4"/>
  <c r="M477" i="4"/>
  <c r="P477" i="4" s="1"/>
  <c r="N476" i="4"/>
  <c r="P472" i="4"/>
  <c r="N472" i="4"/>
  <c r="N469" i="4" s="1"/>
  <c r="N467" i="4" s="1"/>
  <c r="L472" i="4"/>
  <c r="P471" i="4"/>
  <c r="O471" i="4"/>
  <c r="M470" i="4"/>
  <c r="P470" i="4" s="1"/>
  <c r="M469" i="4"/>
  <c r="P468" i="4"/>
  <c r="N468" i="4"/>
  <c r="M468" i="4"/>
  <c r="L468" i="4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L454" i="4" s="1"/>
  <c r="O454" i="4" s="1"/>
  <c r="P455" i="4"/>
  <c r="O455" i="4"/>
  <c r="P454" i="4"/>
  <c r="N454" i="4"/>
  <c r="M454" i="4"/>
  <c r="P449" i="4"/>
  <c r="N449" i="4"/>
  <c r="N446" i="4" s="1"/>
  <c r="N444" i="4" s="1"/>
  <c r="L449" i="4"/>
  <c r="L447" i="4" s="1"/>
  <c r="O447" i="4" s="1"/>
  <c r="P448" i="4"/>
  <c r="O448" i="4"/>
  <c r="N447" i="4"/>
  <c r="M447" i="4"/>
  <c r="P447" i="4" s="1"/>
  <c r="M446" i="4"/>
  <c r="P446" i="4" s="1"/>
  <c r="P445" i="4"/>
  <c r="N445" i="4"/>
  <c r="M445" i="4"/>
  <c r="L445" i="4"/>
  <c r="O445" i="4" s="1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I433" i="4" s="1"/>
  <c r="J434" i="4"/>
  <c r="J418" i="4" s="1"/>
  <c r="P431" i="4"/>
  <c r="L431" i="4"/>
  <c r="P430" i="4"/>
  <c r="O430" i="4"/>
  <c r="P429" i="4"/>
  <c r="N429" i="4"/>
  <c r="M429" i="4"/>
  <c r="N426" i="4"/>
  <c r="N425" i="4"/>
  <c r="N424" i="4" s="1"/>
  <c r="P424" i="4"/>
  <c r="L424" i="4"/>
  <c r="L422" i="4" s="1"/>
  <c r="P423" i="4"/>
  <c r="O423" i="4"/>
  <c r="P422" i="4"/>
  <c r="M422" i="4"/>
  <c r="P421" i="4"/>
  <c r="M421" i="4"/>
  <c r="N420" i="4"/>
  <c r="M420" i="4"/>
  <c r="L420" i="4"/>
  <c r="K413" i="4"/>
  <c r="K412" i="4"/>
  <c r="N410" i="4"/>
  <c r="N408" i="4" s="1"/>
  <c r="M410" i="4"/>
  <c r="P410" i="4" s="1"/>
  <c r="L410" i="4"/>
  <c r="O410" i="4" s="1"/>
  <c r="P409" i="4"/>
  <c r="O409" i="4"/>
  <c r="N407" i="4"/>
  <c r="N405" i="4" s="1"/>
  <c r="M407" i="4"/>
  <c r="P407" i="4" s="1"/>
  <c r="L407" i="4"/>
  <c r="O407" i="4" s="1"/>
  <c r="P406" i="4"/>
  <c r="O406" i="4"/>
  <c r="N403" i="4"/>
  <c r="M403" i="4"/>
  <c r="L403" i="4"/>
  <c r="K401" i="4"/>
  <c r="J401" i="4"/>
  <c r="I401" i="4"/>
  <c r="K400" i="4"/>
  <c r="K399" i="4"/>
  <c r="N397" i="4"/>
  <c r="N395" i="4" s="1"/>
  <c r="M397" i="4"/>
  <c r="L397" i="4"/>
  <c r="O397" i="4" s="1"/>
  <c r="P396" i="4"/>
  <c r="O396" i="4"/>
  <c r="N394" i="4"/>
  <c r="N392" i="4" s="1"/>
  <c r="M394" i="4"/>
  <c r="L394" i="4"/>
  <c r="O394" i="4" s="1"/>
  <c r="P393" i="4"/>
  <c r="O393" i="4"/>
  <c r="P390" i="4"/>
  <c r="N390" i="4"/>
  <c r="M390" i="4"/>
  <c r="L390" i="4"/>
  <c r="J388" i="4"/>
  <c r="I388" i="4"/>
  <c r="K388" i="4" s="1"/>
  <c r="J385" i="4"/>
  <c r="I385" i="4"/>
  <c r="K382" i="4"/>
  <c r="J382" i="4"/>
  <c r="J381" i="4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M350" i="4"/>
  <c r="M348" i="4" s="1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M334" i="4" s="1"/>
  <c r="P334" i="4" s="1"/>
  <c r="L336" i="4"/>
  <c r="O336" i="4" s="1"/>
  <c r="P335" i="4"/>
  <c r="O335" i="4"/>
  <c r="N333" i="4"/>
  <c r="M333" i="4"/>
  <c r="L333" i="4"/>
  <c r="L331" i="4" s="1"/>
  <c r="P332" i="4"/>
  <c r="O332" i="4"/>
  <c r="N329" i="4"/>
  <c r="M329" i="4"/>
  <c r="L329" i="4"/>
  <c r="I327" i="4"/>
  <c r="I325" i="4"/>
  <c r="K325" i="4" s="1"/>
  <c r="N323" i="4"/>
  <c r="N321" i="4" s="1"/>
  <c r="M323" i="4"/>
  <c r="P323" i="4" s="1"/>
  <c r="L323" i="4"/>
  <c r="P322" i="4"/>
  <c r="O322" i="4"/>
  <c r="N320" i="4"/>
  <c r="M320" i="4"/>
  <c r="M318" i="4" s="1"/>
  <c r="P318" i="4" s="1"/>
  <c r="L320" i="4"/>
  <c r="P319" i="4"/>
  <c r="O319" i="4"/>
  <c r="P316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L303" i="4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I276" i="4" s="1"/>
  <c r="K276" i="4" s="1"/>
  <c r="N285" i="4"/>
  <c r="N283" i="4" s="1"/>
  <c r="M285" i="4"/>
  <c r="L285" i="4"/>
  <c r="P284" i="4"/>
  <c r="O284" i="4"/>
  <c r="N282" i="4"/>
  <c r="M282" i="4"/>
  <c r="L282" i="4"/>
  <c r="P281" i="4"/>
  <c r="O281" i="4"/>
  <c r="P278" i="4"/>
  <c r="O278" i="4"/>
  <c r="N278" i="4"/>
  <c r="M278" i="4"/>
  <c r="L278" i="4"/>
  <c r="J276" i="4"/>
  <c r="I271" i="4"/>
  <c r="N269" i="4"/>
  <c r="N267" i="4" s="1"/>
  <c r="M269" i="4"/>
  <c r="L269" i="4"/>
  <c r="L267" i="4" s="1"/>
  <c r="O267" i="4" s="1"/>
  <c r="P268" i="4"/>
  <c r="O268" i="4"/>
  <c r="N266" i="4"/>
  <c r="N264" i="4" s="1"/>
  <c r="M266" i="4"/>
  <c r="L266" i="4"/>
  <c r="L264" i="4" s="1"/>
  <c r="P265" i="4"/>
  <c r="O265" i="4"/>
  <c r="P262" i="4"/>
  <c r="O262" i="4"/>
  <c r="N262" i="4"/>
  <c r="M262" i="4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N227" i="4" s="1"/>
  <c r="J237" i="4"/>
  <c r="K236" i="4"/>
  <c r="J236" i="4"/>
  <c r="I236" i="4"/>
  <c r="J235" i="4"/>
  <c r="I235" i="4"/>
  <c r="K235" i="4" s="1"/>
  <c r="J233" i="4"/>
  <c r="N231" i="4"/>
  <c r="N230" i="4"/>
  <c r="N229" i="4"/>
  <c r="N228" i="4"/>
  <c r="I225" i="4"/>
  <c r="I224" i="4"/>
  <c r="K224" i="4" s="1"/>
  <c r="I223" i="4"/>
  <c r="K223" i="4" s="1"/>
  <c r="L220" i="4"/>
  <c r="L219" i="4"/>
  <c r="L218" i="4"/>
  <c r="P217" i="4"/>
  <c r="N217" i="4"/>
  <c r="J216" i="4"/>
  <c r="I215" i="4"/>
  <c r="I208" i="4" s="1"/>
  <c r="K208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O189" i="4" s="1"/>
  <c r="P188" i="4"/>
  <c r="O188" i="4"/>
  <c r="N186" i="4"/>
  <c r="M186" i="4"/>
  <c r="L186" i="4"/>
  <c r="L184" i="4" s="1"/>
  <c r="P185" i="4"/>
  <c r="O185" i="4"/>
  <c r="N182" i="4"/>
  <c r="M182" i="4"/>
  <c r="L182" i="4"/>
  <c r="O182" i="4" s="1"/>
  <c r="J177" i="4"/>
  <c r="I176" i="4"/>
  <c r="I174" i="4" s="1"/>
  <c r="I164" i="4" s="1"/>
  <c r="K164" i="4" s="1"/>
  <c r="J174" i="4"/>
  <c r="N173" i="4"/>
  <c r="N171" i="4" s="1"/>
  <c r="M173" i="4"/>
  <c r="L173" i="4"/>
  <c r="L171" i="4" s="1"/>
  <c r="O171" i="4" s="1"/>
  <c r="P172" i="4"/>
  <c r="O172" i="4"/>
  <c r="N170" i="4"/>
  <c r="M170" i="4"/>
  <c r="L170" i="4"/>
  <c r="L168" i="4" s="1"/>
  <c r="P169" i="4"/>
  <c r="O169" i="4"/>
  <c r="N166" i="4"/>
  <c r="M166" i="4"/>
  <c r="P166" i="4" s="1"/>
  <c r="L166" i="4"/>
  <c r="J164" i="4"/>
  <c r="I159" i="4"/>
  <c r="K159" i="4" s="1"/>
  <c r="N157" i="4"/>
  <c r="N155" i="4" s="1"/>
  <c r="M157" i="4"/>
  <c r="P157" i="4" s="1"/>
  <c r="L157" i="4"/>
  <c r="O157" i="4" s="1"/>
  <c r="P156" i="4"/>
  <c r="O156" i="4"/>
  <c r="N154" i="4"/>
  <c r="N152" i="4" s="1"/>
  <c r="M154" i="4"/>
  <c r="M152" i="4" s="1"/>
  <c r="L154" i="4"/>
  <c r="P153" i="4"/>
  <c r="O153" i="4"/>
  <c r="P150" i="4"/>
  <c r="O150" i="4"/>
  <c r="N150" i="4"/>
  <c r="M150" i="4"/>
  <c r="L150" i="4"/>
  <c r="J148" i="4"/>
  <c r="I146" i="4"/>
  <c r="I145" i="4"/>
  <c r="I143" i="4" s="1"/>
  <c r="I131" i="4" s="1"/>
  <c r="K131" i="4" s="1"/>
  <c r="I144" i="4"/>
  <c r="N140" i="4"/>
  <c r="N138" i="4" s="1"/>
  <c r="M140" i="4"/>
  <c r="P140" i="4" s="1"/>
  <c r="L140" i="4"/>
  <c r="P139" i="4"/>
  <c r="O139" i="4"/>
  <c r="N137" i="4"/>
  <c r="N135" i="4" s="1"/>
  <c r="M137" i="4"/>
  <c r="L137" i="4"/>
  <c r="P136" i="4"/>
  <c r="O136" i="4"/>
  <c r="P133" i="4"/>
  <c r="N133" i="4"/>
  <c r="M133" i="4"/>
  <c r="L133" i="4"/>
  <c r="O133" i="4" s="1"/>
  <c r="J130" i="4"/>
  <c r="N127" i="4"/>
  <c r="N125" i="4" s="1"/>
  <c r="M127" i="4"/>
  <c r="P127" i="4" s="1"/>
  <c r="L127" i="4"/>
  <c r="O127" i="4" s="1"/>
  <c r="P126" i="4"/>
  <c r="O126" i="4"/>
  <c r="N124" i="4"/>
  <c r="M124" i="4"/>
  <c r="P124" i="4" s="1"/>
  <c r="L124" i="4"/>
  <c r="L122" i="4" s="1"/>
  <c r="O122" i="4" s="1"/>
  <c r="P123" i="4"/>
  <c r="O123" i="4"/>
  <c r="O120" i="4"/>
  <c r="N120" i="4"/>
  <c r="M120" i="4"/>
  <c r="P120" i="4" s="1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J98" i="4"/>
  <c r="I98" i="4"/>
  <c r="K98" i="4" s="1"/>
  <c r="N96" i="4"/>
  <c r="N94" i="4" s="1"/>
  <c r="M96" i="4"/>
  <c r="L96" i="4"/>
  <c r="L94" i="4" s="1"/>
  <c r="O94" i="4" s="1"/>
  <c r="P95" i="4"/>
  <c r="O95" i="4"/>
  <c r="N93" i="4"/>
  <c r="M93" i="4"/>
  <c r="M91" i="4" s="1"/>
  <c r="L93" i="4"/>
  <c r="L91" i="4" s="1"/>
  <c r="P92" i="4"/>
  <c r="O92" i="4"/>
  <c r="N89" i="4"/>
  <c r="M89" i="4"/>
  <c r="P89" i="4" s="1"/>
  <c r="L89" i="4"/>
  <c r="J87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76" i="4"/>
  <c r="J64" i="4" s="1"/>
  <c r="N74" i="4"/>
  <c r="N72" i="4" s="1"/>
  <c r="M74" i="4"/>
  <c r="P74" i="4" s="1"/>
  <c r="L74" i="4"/>
  <c r="O74" i="4" s="1"/>
  <c r="P73" i="4"/>
  <c r="O73" i="4"/>
  <c r="N71" i="4"/>
  <c r="M71" i="4"/>
  <c r="P71" i="4" s="1"/>
  <c r="L71" i="4"/>
  <c r="L69" i="4" s="1"/>
  <c r="O69" i="4" s="1"/>
  <c r="P70" i="4"/>
  <c r="O70" i="4"/>
  <c r="N67" i="4"/>
  <c r="M67" i="4"/>
  <c r="L67" i="4"/>
  <c r="O67" i="4" s="1"/>
  <c r="J65" i="4"/>
  <c r="N61" i="4"/>
  <c r="N59" i="4" s="1"/>
  <c r="M61" i="4"/>
  <c r="M59" i="4" s="1"/>
  <c r="P59" i="4" s="1"/>
  <c r="L61" i="4"/>
  <c r="O61" i="4" s="1"/>
  <c r="P60" i="4"/>
  <c r="O60" i="4"/>
  <c r="N58" i="4"/>
  <c r="N56" i="4" s="1"/>
  <c r="M58" i="4"/>
  <c r="M56" i="4" s="1"/>
  <c r="L58" i="4"/>
  <c r="L56" i="4" s="1"/>
  <c r="P57" i="4"/>
  <c r="O57" i="4"/>
  <c r="P54" i="4"/>
  <c r="O54" i="4"/>
  <c r="N54" i="4"/>
  <c r="M54" i="4"/>
  <c r="L54" i="4"/>
  <c r="N49" i="4"/>
  <c r="M49" i="4"/>
  <c r="P49" i="4" s="1"/>
  <c r="L49" i="4"/>
  <c r="P48" i="4"/>
  <c r="O48" i="4"/>
  <c r="N46" i="4"/>
  <c r="N44" i="4" s="1"/>
  <c r="M46" i="4"/>
  <c r="M44" i="4" s="1"/>
  <c r="L46" i="4"/>
  <c r="P45" i="4"/>
  <c r="O45" i="4"/>
  <c r="N42" i="4"/>
  <c r="M42" i="4"/>
  <c r="L42" i="4"/>
  <c r="O42" i="4" s="1"/>
  <c r="P36" i="4"/>
  <c r="N36" i="4"/>
  <c r="M36" i="4"/>
  <c r="O35" i="4"/>
  <c r="N35" i="4"/>
  <c r="M35" i="4"/>
  <c r="L35" i="4"/>
  <c r="N34" i="4"/>
  <c r="N33" i="4"/>
  <c r="M33" i="4"/>
  <c r="P32" i="4"/>
  <c r="N32" i="4"/>
  <c r="M32" i="4"/>
  <c r="L32" i="4"/>
  <c r="N31" i="4"/>
  <c r="N30" i="4"/>
  <c r="N28" i="4" s="1"/>
  <c r="N29" i="4"/>
  <c r="M29" i="4"/>
  <c r="P25" i="4"/>
  <c r="N25" i="4"/>
  <c r="M25" i="4"/>
  <c r="L25" i="4"/>
  <c r="O22" i="4"/>
  <c r="N22" i="4"/>
  <c r="N19" i="4" s="1"/>
  <c r="M22" i="4"/>
  <c r="L22" i="4"/>
  <c r="L19" i="4"/>
  <c r="N15" i="4"/>
  <c r="M15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N805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O791" i="3" s="1"/>
  <c r="P790" i="3"/>
  <c r="O790" i="3"/>
  <c r="P789" i="3"/>
  <c r="M789" i="3"/>
  <c r="M788" i="3"/>
  <c r="P787" i="3"/>
  <c r="N787" i="3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N757" i="3" s="1"/>
  <c r="P758" i="3"/>
  <c r="O758" i="3"/>
  <c r="O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N740" i="3" s="1"/>
  <c r="P741" i="3"/>
  <c r="O741" i="3"/>
  <c r="O740" i="3"/>
  <c r="M740" i="3"/>
  <c r="P740" i="3" s="1"/>
  <c r="L740" i="3"/>
  <c r="P739" i="3"/>
  <c r="N739" i="3"/>
  <c r="N737" i="3" s="1"/>
  <c r="M739" i="3"/>
  <c r="L739" i="3"/>
  <c r="O739" i="3" s="1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N685" i="3" s="1"/>
  <c r="L690" i="3"/>
  <c r="O690" i="3" s="1"/>
  <c r="N688" i="3"/>
  <c r="M688" i="3"/>
  <c r="P688" i="3" s="1"/>
  <c r="M687" i="3"/>
  <c r="P686" i="3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J654" i="3" s="1"/>
  <c r="I669" i="3"/>
  <c r="K673" i="3" s="1"/>
  <c r="P667" i="3"/>
  <c r="O667" i="3"/>
  <c r="P666" i="3"/>
  <c r="O666" i="3"/>
  <c r="P665" i="3"/>
  <c r="N665" i="3"/>
  <c r="M665" i="3"/>
  <c r="L665" i="3"/>
  <c r="O665" i="3" s="1"/>
  <c r="P660" i="3"/>
  <c r="N660" i="3"/>
  <c r="L660" i="3"/>
  <c r="L658" i="3" s="1"/>
  <c r="O658" i="3" s="1"/>
  <c r="P659" i="3"/>
  <c r="O659" i="3"/>
  <c r="P658" i="3"/>
  <c r="N658" i="3"/>
  <c r="M658" i="3"/>
  <c r="P657" i="3"/>
  <c r="N657" i="3"/>
  <c r="M657" i="3"/>
  <c r="O656" i="3"/>
  <c r="N656" i="3"/>
  <c r="M656" i="3"/>
  <c r="M655" i="3" s="1"/>
  <c r="P655" i="3" s="1"/>
  <c r="L656" i="3"/>
  <c r="N655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P633" i="3"/>
  <c r="O633" i="3"/>
  <c r="N632" i="3"/>
  <c r="M632" i="3"/>
  <c r="P632" i="3" s="1"/>
  <c r="P631" i="3"/>
  <c r="N631" i="3"/>
  <c r="N629" i="3" s="1"/>
  <c r="M631" i="3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I593" i="3"/>
  <c r="I592" i="3" s="1"/>
  <c r="J583" i="3"/>
  <c r="J582" i="3"/>
  <c r="J576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P556" i="3"/>
  <c r="O556" i="3"/>
  <c r="N555" i="3"/>
  <c r="M555" i="3"/>
  <c r="P549" i="3"/>
  <c r="N549" i="3"/>
  <c r="N546" i="3" s="1"/>
  <c r="L549" i="3"/>
  <c r="O549" i="3" s="1"/>
  <c r="P548" i="3"/>
  <c r="O548" i="3"/>
  <c r="P547" i="3"/>
  <c r="N547" i="3"/>
  <c r="M547" i="3"/>
  <c r="M546" i="3"/>
  <c r="P546" i="3" s="1"/>
  <c r="N545" i="3"/>
  <c r="L545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O535" i="3" s="1"/>
  <c r="P534" i="3"/>
  <c r="O534" i="3"/>
  <c r="N533" i="3"/>
  <c r="M533" i="3"/>
  <c r="P533" i="3" s="1"/>
  <c r="P528" i="3"/>
  <c r="N528" i="3"/>
  <c r="N525" i="3" s="1"/>
  <c r="L528" i="3"/>
  <c r="O528" i="3" s="1"/>
  <c r="P527" i="3"/>
  <c r="O527" i="3"/>
  <c r="P526" i="3"/>
  <c r="N526" i="3"/>
  <c r="M526" i="3"/>
  <c r="M525" i="3"/>
  <c r="P525" i="3" s="1"/>
  <c r="P524" i="3"/>
  <c r="N524" i="3"/>
  <c r="N523" i="3" s="1"/>
  <c r="M524" i="3"/>
  <c r="L524" i="3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P505" i="3"/>
  <c r="N505" i="3"/>
  <c r="M505" i="3"/>
  <c r="L505" i="3"/>
  <c r="O505" i="3" s="1"/>
  <c r="O504" i="3"/>
  <c r="N504" i="3"/>
  <c r="M504" i="3"/>
  <c r="L504" i="3"/>
  <c r="P503" i="3"/>
  <c r="N503" i="3"/>
  <c r="N502" i="3" s="1"/>
  <c r="M503" i="3"/>
  <c r="L503" i="3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P478" i="3"/>
  <c r="O478" i="3"/>
  <c r="N477" i="3"/>
  <c r="M477" i="3"/>
  <c r="P477" i="3" s="1"/>
  <c r="P472" i="3"/>
  <c r="N472" i="3"/>
  <c r="N470" i="3" s="1"/>
  <c r="L472" i="3"/>
  <c r="L470" i="3" s="1"/>
  <c r="P471" i="3"/>
  <c r="O471" i="3"/>
  <c r="P470" i="3"/>
  <c r="M470" i="3"/>
  <c r="M469" i="3"/>
  <c r="P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I443" i="3" s="1"/>
  <c r="K443" i="3" s="1"/>
  <c r="I460" i="3"/>
  <c r="K460" i="3" s="1"/>
  <c r="K458" i="3"/>
  <c r="P456" i="3"/>
  <c r="L456" i="3"/>
  <c r="O456" i="3" s="1"/>
  <c r="P455" i="3"/>
  <c r="O455" i="3"/>
  <c r="P454" i="3"/>
  <c r="N454" i="3"/>
  <c r="M454" i="3"/>
  <c r="P449" i="3"/>
  <c r="N449" i="3"/>
  <c r="L449" i="3"/>
  <c r="L447" i="3" s="1"/>
  <c r="O447" i="3" s="1"/>
  <c r="P448" i="3"/>
  <c r="O448" i="3"/>
  <c r="N447" i="3"/>
  <c r="M447" i="3"/>
  <c r="P447" i="3" s="1"/>
  <c r="P446" i="3"/>
  <c r="N446" i="3"/>
  <c r="N444" i="3" s="1"/>
  <c r="M446" i="3"/>
  <c r="O445" i="3"/>
  <c r="N445" i="3"/>
  <c r="M445" i="3"/>
  <c r="L445" i="3"/>
  <c r="J443" i="3"/>
  <c r="J442" i="3"/>
  <c r="I441" i="3"/>
  <c r="K441" i="3" s="1"/>
  <c r="I440" i="3"/>
  <c r="K440" i="3" s="1"/>
  <c r="I439" i="3"/>
  <c r="K439" i="3" s="1"/>
  <c r="I438" i="3"/>
  <c r="I437" i="3"/>
  <c r="K437" i="3" s="1"/>
  <c r="I435" i="3"/>
  <c r="I433" i="3" s="1"/>
  <c r="J434" i="3"/>
  <c r="P431" i="3"/>
  <c r="L431" i="3"/>
  <c r="O431" i="3" s="1"/>
  <c r="P430" i="3"/>
  <c r="O430" i="3"/>
  <c r="P429" i="3"/>
  <c r="N429" i="3"/>
  <c r="M429" i="3"/>
  <c r="P424" i="3"/>
  <c r="N424" i="3"/>
  <c r="L424" i="3"/>
  <c r="P423" i="3"/>
  <c r="O423" i="3"/>
  <c r="N422" i="3"/>
  <c r="M422" i="3"/>
  <c r="P422" i="3" s="1"/>
  <c r="P421" i="3"/>
  <c r="N421" i="3"/>
  <c r="M421" i="3"/>
  <c r="O420" i="3"/>
  <c r="N420" i="3"/>
  <c r="M420" i="3"/>
  <c r="L420" i="3"/>
  <c r="N419" i="3"/>
  <c r="J418" i="3"/>
  <c r="K413" i="3"/>
  <c r="K412" i="3"/>
  <c r="N410" i="3"/>
  <c r="N408" i="3" s="1"/>
  <c r="M410" i="3"/>
  <c r="L410" i="3"/>
  <c r="P409" i="3"/>
  <c r="O409" i="3"/>
  <c r="N407" i="3"/>
  <c r="N405" i="3" s="1"/>
  <c r="M407" i="3"/>
  <c r="L407" i="3"/>
  <c r="P406" i="3"/>
  <c r="O406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L397" i="3"/>
  <c r="P396" i="3"/>
  <c r="O396" i="3"/>
  <c r="N394" i="3"/>
  <c r="M394" i="3"/>
  <c r="P394" i="3" s="1"/>
  <c r="L394" i="3"/>
  <c r="P393" i="3"/>
  <c r="O393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L351" i="3" s="1"/>
  <c r="P352" i="3"/>
  <c r="O352" i="3"/>
  <c r="N350" i="3"/>
  <c r="N348" i="3" s="1"/>
  <c r="M350" i="3"/>
  <c r="M348" i="3" s="1"/>
  <c r="L350" i="3"/>
  <c r="P349" i="3"/>
  <c r="O349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P335" i="3"/>
  <c r="O335" i="3"/>
  <c r="N333" i="3"/>
  <c r="N331" i="3" s="1"/>
  <c r="M333" i="3"/>
  <c r="L333" i="3"/>
  <c r="P332" i="3"/>
  <c r="O332" i="3"/>
  <c r="P329" i="3"/>
  <c r="O329" i="3"/>
  <c r="N329" i="3"/>
  <c r="M329" i="3"/>
  <c r="L329" i="3"/>
  <c r="I327" i="3"/>
  <c r="I325" i="3"/>
  <c r="K325" i="3" s="1"/>
  <c r="N323" i="3"/>
  <c r="N321" i="3" s="1"/>
  <c r="M323" i="3"/>
  <c r="L323" i="3"/>
  <c r="O323" i="3" s="1"/>
  <c r="P322" i="3"/>
  <c r="O322" i="3"/>
  <c r="N320" i="3"/>
  <c r="N318" i="3" s="1"/>
  <c r="M320" i="3"/>
  <c r="L320" i="3"/>
  <c r="O320" i="3" s="1"/>
  <c r="P319" i="3"/>
  <c r="O319" i="3"/>
  <c r="P316" i="3"/>
  <c r="N316" i="3"/>
  <c r="M316" i="3"/>
  <c r="L316" i="3"/>
  <c r="O316" i="3" s="1"/>
  <c r="J314" i="3"/>
  <c r="I312" i="3"/>
  <c r="K312" i="3" s="1"/>
  <c r="I311" i="3"/>
  <c r="K311" i="3" s="1"/>
  <c r="I310" i="3"/>
  <c r="K310" i="3" s="1"/>
  <c r="I309" i="3"/>
  <c r="I297" i="3" s="1"/>
  <c r="K297" i="3" s="1"/>
  <c r="N306" i="3"/>
  <c r="N304" i="3" s="1"/>
  <c r="M306" i="3"/>
  <c r="L306" i="3"/>
  <c r="P305" i="3"/>
  <c r="O305" i="3"/>
  <c r="N303" i="3"/>
  <c r="N301" i="3" s="1"/>
  <c r="M303" i="3"/>
  <c r="L303" i="3"/>
  <c r="P302" i="3"/>
  <c r="O302" i="3"/>
  <c r="O299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N285" i="3"/>
  <c r="N283" i="3" s="1"/>
  <c r="M285" i="3"/>
  <c r="P285" i="3" s="1"/>
  <c r="L285" i="3"/>
  <c r="O285" i="3" s="1"/>
  <c r="P284" i="3"/>
  <c r="O284" i="3"/>
  <c r="N282" i="3"/>
  <c r="N280" i="3" s="1"/>
  <c r="M282" i="3"/>
  <c r="L282" i="3"/>
  <c r="L280" i="3" s="1"/>
  <c r="P281" i="3"/>
  <c r="O281" i="3"/>
  <c r="N278" i="3"/>
  <c r="M278" i="3"/>
  <c r="P278" i="3" s="1"/>
  <c r="L278" i="3"/>
  <c r="O278" i="3" s="1"/>
  <c r="J276" i="3"/>
  <c r="I271" i="3"/>
  <c r="K271" i="3" s="1"/>
  <c r="N269" i="3"/>
  <c r="N267" i="3" s="1"/>
  <c r="M269" i="3"/>
  <c r="L269" i="3"/>
  <c r="O269" i="3" s="1"/>
  <c r="P268" i="3"/>
  <c r="O268" i="3"/>
  <c r="N266" i="3"/>
  <c r="M266" i="3"/>
  <c r="L266" i="3"/>
  <c r="P265" i="3"/>
  <c r="O265" i="3"/>
  <c r="N262" i="3"/>
  <c r="M262" i="3"/>
  <c r="L262" i="3"/>
  <c r="O262" i="3" s="1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K244" i="3" s="1"/>
  <c r="L242" i="3"/>
  <c r="L241" i="3"/>
  <c r="L240" i="3"/>
  <c r="L239" i="3"/>
  <c r="P238" i="3"/>
  <c r="N238" i="3"/>
  <c r="J237" i="3"/>
  <c r="J236" i="3"/>
  <c r="I236" i="3"/>
  <c r="K236" i="3" s="1"/>
  <c r="K235" i="3"/>
  <c r="J235" i="3"/>
  <c r="I235" i="3"/>
  <c r="J233" i="3"/>
  <c r="N231" i="3"/>
  <c r="N230" i="3"/>
  <c r="N229" i="3"/>
  <c r="N228" i="3"/>
  <c r="N227" i="3"/>
  <c r="J226" i="3"/>
  <c r="J180" i="3" s="1"/>
  <c r="I225" i="3"/>
  <c r="K225" i="3" s="1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N184" i="3" s="1"/>
  <c r="M186" i="3"/>
  <c r="M184" i="3" s="1"/>
  <c r="L186" i="3"/>
  <c r="P185" i="3"/>
  <c r="O185" i="3"/>
  <c r="P182" i="3"/>
  <c r="N182" i="3"/>
  <c r="M182" i="3"/>
  <c r="L182" i="3"/>
  <c r="O182" i="3" s="1"/>
  <c r="J177" i="3"/>
  <c r="I176" i="3"/>
  <c r="K176" i="3" s="1"/>
  <c r="J174" i="3"/>
  <c r="N173" i="3"/>
  <c r="N171" i="3" s="1"/>
  <c r="M173" i="3"/>
  <c r="P173" i="3" s="1"/>
  <c r="L173" i="3"/>
  <c r="O173" i="3" s="1"/>
  <c r="P172" i="3"/>
  <c r="O172" i="3"/>
  <c r="N170" i="3"/>
  <c r="N168" i="3" s="1"/>
  <c r="M170" i="3"/>
  <c r="M168" i="3" s="1"/>
  <c r="L170" i="3"/>
  <c r="P169" i="3"/>
  <c r="O169" i="3"/>
  <c r="P166" i="3"/>
  <c r="N166" i="3"/>
  <c r="M166" i="3"/>
  <c r="L166" i="3"/>
  <c r="O166" i="3" s="1"/>
  <c r="J164" i="3"/>
  <c r="I159" i="3"/>
  <c r="N157" i="3"/>
  <c r="N155" i="3" s="1"/>
  <c r="M157" i="3"/>
  <c r="L157" i="3"/>
  <c r="P156" i="3"/>
  <c r="O156" i="3"/>
  <c r="N154" i="3"/>
  <c r="M154" i="3"/>
  <c r="L154" i="3"/>
  <c r="O154" i="3" s="1"/>
  <c r="P153" i="3"/>
  <c r="O153" i="3"/>
  <c r="N150" i="3"/>
  <c r="M150" i="3"/>
  <c r="L150" i="3"/>
  <c r="O150" i="3" s="1"/>
  <c r="J148" i="3"/>
  <c r="I146" i="3"/>
  <c r="I130" i="3" s="1"/>
  <c r="K130" i="3" s="1"/>
  <c r="I145" i="3"/>
  <c r="I144" i="3"/>
  <c r="K144" i="3" s="1"/>
  <c r="N140" i="3"/>
  <c r="N138" i="3" s="1"/>
  <c r="M140" i="3"/>
  <c r="M138" i="3" s="1"/>
  <c r="P138" i="3" s="1"/>
  <c r="L140" i="3"/>
  <c r="O140" i="3" s="1"/>
  <c r="P139" i="3"/>
  <c r="O139" i="3"/>
  <c r="N137" i="3"/>
  <c r="N135" i="3" s="1"/>
  <c r="M137" i="3"/>
  <c r="M135" i="3" s="1"/>
  <c r="P135" i="3" s="1"/>
  <c r="L137" i="3"/>
  <c r="O137" i="3" s="1"/>
  <c r="P136" i="3"/>
  <c r="O136" i="3"/>
  <c r="P133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N122" i="3" s="1"/>
  <c r="M124" i="3"/>
  <c r="L124" i="3"/>
  <c r="O124" i="3" s="1"/>
  <c r="P123" i="3"/>
  <c r="O123" i="3"/>
  <c r="N120" i="3"/>
  <c r="M120" i="3"/>
  <c r="L120" i="3"/>
  <c r="O120" i="3" s="1"/>
  <c r="I116" i="3"/>
  <c r="K116" i="3" s="1"/>
  <c r="I115" i="3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K99" i="3" s="1"/>
  <c r="J98" i="3"/>
  <c r="J86" i="3" s="1"/>
  <c r="I98" i="3"/>
  <c r="N96" i="3"/>
  <c r="N94" i="3" s="1"/>
  <c r="M96" i="3"/>
  <c r="P96" i="3" s="1"/>
  <c r="L96" i="3"/>
  <c r="P95" i="3"/>
  <c r="O95" i="3"/>
  <c r="N93" i="3"/>
  <c r="M93" i="3"/>
  <c r="M91" i="3" s="1"/>
  <c r="L93" i="3"/>
  <c r="P92" i="3"/>
  <c r="O92" i="3"/>
  <c r="P89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J77" i="3"/>
  <c r="J76" i="3"/>
  <c r="N74" i="3"/>
  <c r="N72" i="3" s="1"/>
  <c r="M74" i="3"/>
  <c r="M72" i="3" s="1"/>
  <c r="P72" i="3" s="1"/>
  <c r="L74" i="3"/>
  <c r="P73" i="3"/>
  <c r="O73" i="3"/>
  <c r="N71" i="3"/>
  <c r="N69" i="3" s="1"/>
  <c r="M71" i="3"/>
  <c r="L71" i="3"/>
  <c r="P70" i="3"/>
  <c r="O70" i="3"/>
  <c r="P67" i="3"/>
  <c r="O67" i="3"/>
  <c r="N67" i="3"/>
  <c r="M67" i="3"/>
  <c r="L67" i="3"/>
  <c r="J65" i="3"/>
  <c r="J64" i="3"/>
  <c r="N61" i="3"/>
  <c r="N59" i="3" s="1"/>
  <c r="M61" i="3"/>
  <c r="L61" i="3"/>
  <c r="P60" i="3"/>
  <c r="O60" i="3"/>
  <c r="N58" i="3"/>
  <c r="M58" i="3"/>
  <c r="L58" i="3"/>
  <c r="L56" i="3" s="1"/>
  <c r="P57" i="3"/>
  <c r="O57" i="3"/>
  <c r="N54" i="3"/>
  <c r="M54" i="3"/>
  <c r="L54" i="3"/>
  <c r="O54" i="3" s="1"/>
  <c r="N49" i="3"/>
  <c r="N47" i="3" s="1"/>
  <c r="M49" i="3"/>
  <c r="M47" i="3" s="1"/>
  <c r="P47" i="3" s="1"/>
  <c r="L49" i="3"/>
  <c r="O49" i="3" s="1"/>
  <c r="P48" i="3"/>
  <c r="O48" i="3"/>
  <c r="N46" i="3"/>
  <c r="M46" i="3"/>
  <c r="M44" i="3" s="1"/>
  <c r="L46" i="3"/>
  <c r="P45" i="3"/>
  <c r="O45" i="3"/>
  <c r="P42" i="3"/>
  <c r="O42" i="3"/>
  <c r="N42" i="3"/>
  <c r="M42" i="3"/>
  <c r="L42" i="3"/>
  <c r="N36" i="3"/>
  <c r="M36" i="3"/>
  <c r="M34" i="3" s="1"/>
  <c r="P34" i="3" s="1"/>
  <c r="N35" i="3"/>
  <c r="N34" i="3" s="1"/>
  <c r="M35" i="3"/>
  <c r="P35" i="3" s="1"/>
  <c r="L35" i="3"/>
  <c r="P33" i="3"/>
  <c r="N33" i="3"/>
  <c r="M33" i="3"/>
  <c r="O32" i="3"/>
  <c r="N32" i="3"/>
  <c r="N29" i="3" s="1"/>
  <c r="N28" i="3" s="1"/>
  <c r="M32" i="3"/>
  <c r="P32" i="3" s="1"/>
  <c r="L32" i="3"/>
  <c r="M31" i="3"/>
  <c r="P31" i="3" s="1"/>
  <c r="N30" i="3"/>
  <c r="M30" i="3"/>
  <c r="M28" i="3" s="1"/>
  <c r="P28" i="3" s="1"/>
  <c r="M29" i="3"/>
  <c r="P29" i="3" s="1"/>
  <c r="L29" i="3"/>
  <c r="O25" i="3"/>
  <c r="N25" i="3"/>
  <c r="N15" i="3" s="1"/>
  <c r="M25" i="3"/>
  <c r="P25" i="3" s="1"/>
  <c r="L25" i="3"/>
  <c r="N22" i="3"/>
  <c r="M22" i="3"/>
  <c r="P22" i="3" s="1"/>
  <c r="L22" i="3"/>
  <c r="M19" i="3"/>
  <c r="P19" i="3" s="1"/>
  <c r="M15" i="3"/>
  <c r="P15" i="3" s="1"/>
  <c r="L15" i="3"/>
  <c r="N12" i="3"/>
  <c r="N9" i="3" s="1"/>
  <c r="M12" i="3"/>
  <c r="P12" i="3" s="1"/>
  <c r="M9" i="3"/>
  <c r="P9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N806" i="2"/>
  <c r="M806" i="2"/>
  <c r="P806" i="2" s="1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L789" i="2" s="1"/>
  <c r="O789" i="2" s="1"/>
  <c r="P790" i="2"/>
  <c r="O790" i="2"/>
  <c r="P789" i="2"/>
  <c r="M789" i="2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P774" i="2"/>
  <c r="O774" i="2"/>
  <c r="O773" i="2"/>
  <c r="N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P758" i="2"/>
  <c r="O758" i="2"/>
  <c r="O757" i="2"/>
  <c r="N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P741" i="2"/>
  <c r="O741" i="2"/>
  <c r="O740" i="2"/>
  <c r="N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N695" i="2"/>
  <c r="M695" i="2"/>
  <c r="P695" i="2" s="1"/>
  <c r="L695" i="2"/>
  <c r="O695" i="2" s="1"/>
  <c r="P690" i="2"/>
  <c r="N690" i="2"/>
  <c r="L690" i="2"/>
  <c r="O690" i="2" s="1"/>
  <c r="P688" i="2"/>
  <c r="N688" i="2"/>
  <c r="M688" i="2"/>
  <c r="N687" i="2"/>
  <c r="M687" i="2"/>
  <c r="P686" i="2"/>
  <c r="N686" i="2"/>
  <c r="M686" i="2"/>
  <c r="L686" i="2"/>
  <c r="N685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P667" i="2"/>
  <c r="O667" i="2"/>
  <c r="P666" i="2"/>
  <c r="O666" i="2"/>
  <c r="N665" i="2"/>
  <c r="M665" i="2"/>
  <c r="P665" i="2" s="1"/>
  <c r="L665" i="2"/>
  <c r="O665" i="2" s="1"/>
  <c r="N664" i="2"/>
  <c r="P660" i="2"/>
  <c r="N660" i="2"/>
  <c r="L660" i="2"/>
  <c r="L657" i="2" s="1"/>
  <c r="P659" i="2"/>
  <c r="O659" i="2"/>
  <c r="N658" i="2"/>
  <c r="M658" i="2"/>
  <c r="P658" i="2" s="1"/>
  <c r="N657" i="2"/>
  <c r="N655" i="2" s="1"/>
  <c r="M657" i="2"/>
  <c r="P657" i="2" s="1"/>
  <c r="P656" i="2"/>
  <c r="N656" i="2"/>
  <c r="M656" i="2"/>
  <c r="M655" i="2" s="1"/>
  <c r="P655" i="2" s="1"/>
  <c r="L656" i="2"/>
  <c r="O656" i="2" s="1"/>
  <c r="J654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N638" i="2"/>
  <c r="N634" i="2" s="1"/>
  <c r="N632" i="2" s="1"/>
  <c r="P634" i="2"/>
  <c r="L634" i="2"/>
  <c r="P633" i="2"/>
  <c r="O633" i="2"/>
  <c r="P632" i="2"/>
  <c r="M632" i="2"/>
  <c r="P631" i="2"/>
  <c r="M631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K594" i="2" s="1"/>
  <c r="J593" i="2"/>
  <c r="J592" i="2" s="1"/>
  <c r="I593" i="2"/>
  <c r="K593" i="2" s="1"/>
  <c r="J583" i="2"/>
  <c r="J582" i="2"/>
  <c r="J576" i="2" s="1"/>
  <c r="J559" i="2" s="1"/>
  <c r="J543" i="2" s="1"/>
  <c r="J577" i="2"/>
  <c r="I577" i="2"/>
  <c r="K577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P556" i="2"/>
  <c r="O556" i="2"/>
  <c r="N555" i="2"/>
  <c r="M555" i="2"/>
  <c r="N553" i="2"/>
  <c r="P549" i="2"/>
  <c r="N549" i="2"/>
  <c r="L549" i="2"/>
  <c r="P548" i="2"/>
  <c r="O548" i="2"/>
  <c r="N547" i="2"/>
  <c r="M547" i="2"/>
  <c r="P547" i="2" s="1"/>
  <c r="N546" i="2"/>
  <c r="M546" i="2"/>
  <c r="P546" i="2" s="1"/>
  <c r="N545" i="2"/>
  <c r="N544" i="2" s="1"/>
  <c r="L545" i="2"/>
  <c r="O545" i="2" s="1"/>
  <c r="I542" i="2"/>
  <c r="K542" i="2" s="1"/>
  <c r="I541" i="2"/>
  <c r="K541" i="2" s="1"/>
  <c r="I540" i="2"/>
  <c r="K540" i="2" s="1"/>
  <c r="I539" i="2"/>
  <c r="I538" i="2"/>
  <c r="K538" i="2" s="1"/>
  <c r="I537" i="2"/>
  <c r="I522" i="2" s="1"/>
  <c r="P535" i="2"/>
  <c r="L535" i="2"/>
  <c r="P534" i="2"/>
  <c r="O534" i="2"/>
  <c r="N533" i="2"/>
  <c r="M533" i="2"/>
  <c r="P533" i="2" s="1"/>
  <c r="N532" i="2"/>
  <c r="P528" i="2"/>
  <c r="N528" i="2"/>
  <c r="L528" i="2"/>
  <c r="P527" i="2"/>
  <c r="O527" i="2"/>
  <c r="N526" i="2"/>
  <c r="M526" i="2"/>
  <c r="P526" i="2" s="1"/>
  <c r="N525" i="2"/>
  <c r="N523" i="2" s="1"/>
  <c r="M525" i="2"/>
  <c r="P525" i="2" s="1"/>
  <c r="P524" i="2"/>
  <c r="N524" i="2"/>
  <c r="M524" i="2"/>
  <c r="M523" i="2" s="1"/>
  <c r="P523" i="2" s="1"/>
  <c r="L524" i="2"/>
  <c r="O524" i="2" s="1"/>
  <c r="K517" i="2"/>
  <c r="J517" i="2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N504" i="2" s="1"/>
  <c r="P506" i="2"/>
  <c r="O506" i="2"/>
  <c r="P505" i="2"/>
  <c r="M505" i="2"/>
  <c r="L505" i="2"/>
  <c r="O505" i="2" s="1"/>
  <c r="O504" i="2"/>
  <c r="M504" i="2"/>
  <c r="P504" i="2" s="1"/>
  <c r="L504" i="2"/>
  <c r="L502" i="2" s="1"/>
  <c r="O502" i="2" s="1"/>
  <c r="P503" i="2"/>
  <c r="N503" i="2"/>
  <c r="N502" i="2" s="1"/>
  <c r="M503" i="2"/>
  <c r="L503" i="2"/>
  <c r="O503" i="2" s="1"/>
  <c r="M502" i="2"/>
  <c r="P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N476" i="2"/>
  <c r="N472" i="2" s="1"/>
  <c r="P472" i="2"/>
  <c r="L472" i="2"/>
  <c r="P471" i="2"/>
  <c r="O471" i="2"/>
  <c r="M470" i="2"/>
  <c r="P470" i="2" s="1"/>
  <c r="P469" i="2"/>
  <c r="M469" i="2"/>
  <c r="M467" i="2" s="1"/>
  <c r="O468" i="2"/>
  <c r="N468" i="2"/>
  <c r="M468" i="2"/>
  <c r="P468" i="2" s="1"/>
  <c r="L468" i="2"/>
  <c r="P467" i="2"/>
  <c r="J466" i="2"/>
  <c r="I466" i="2"/>
  <c r="J465" i="2"/>
  <c r="I465" i="2"/>
  <c r="K465" i="2" s="1"/>
  <c r="I464" i="2"/>
  <c r="I463" i="2"/>
  <c r="I462" i="2"/>
  <c r="I460" i="2"/>
  <c r="K460" i="2" s="1"/>
  <c r="K458" i="2"/>
  <c r="P456" i="2"/>
  <c r="L456" i="2"/>
  <c r="P455" i="2"/>
  <c r="O455" i="2"/>
  <c r="N454" i="2"/>
  <c r="M454" i="2"/>
  <c r="P454" i="2" s="1"/>
  <c r="N453" i="2"/>
  <c r="P449" i="2"/>
  <c r="N449" i="2"/>
  <c r="L449" i="2"/>
  <c r="P448" i="2"/>
  <c r="O448" i="2"/>
  <c r="N447" i="2"/>
  <c r="M447" i="2"/>
  <c r="P447" i="2" s="1"/>
  <c r="N446" i="2"/>
  <c r="M446" i="2"/>
  <c r="P446" i="2" s="1"/>
  <c r="N445" i="2"/>
  <c r="M445" i="2"/>
  <c r="L445" i="2"/>
  <c r="O445" i="2" s="1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J434" i="2"/>
  <c r="J418" i="2" s="1"/>
  <c r="P431" i="2"/>
  <c r="L431" i="2"/>
  <c r="L429" i="2" s="1"/>
  <c r="O429" i="2" s="1"/>
  <c r="P430" i="2"/>
  <c r="O430" i="2"/>
  <c r="P429" i="2"/>
  <c r="N429" i="2"/>
  <c r="M429" i="2"/>
  <c r="N428" i="2"/>
  <c r="P424" i="2"/>
  <c r="N424" i="2"/>
  <c r="N421" i="2" s="1"/>
  <c r="L424" i="2"/>
  <c r="L422" i="2" s="1"/>
  <c r="P423" i="2"/>
  <c r="O423" i="2"/>
  <c r="P422" i="2"/>
  <c r="N422" i="2"/>
  <c r="M422" i="2"/>
  <c r="M421" i="2"/>
  <c r="P421" i="2" s="1"/>
  <c r="N420" i="2"/>
  <c r="M420" i="2"/>
  <c r="P420" i="2" s="1"/>
  <c r="L420" i="2"/>
  <c r="K413" i="2"/>
  <c r="K412" i="2"/>
  <c r="N410" i="2"/>
  <c r="N408" i="2" s="1"/>
  <c r="M410" i="2"/>
  <c r="L410" i="2"/>
  <c r="O410" i="2" s="1"/>
  <c r="P409" i="2"/>
  <c r="O409" i="2"/>
  <c r="N407" i="2"/>
  <c r="N405" i="2" s="1"/>
  <c r="M407" i="2"/>
  <c r="L407" i="2"/>
  <c r="O407" i="2" s="1"/>
  <c r="P406" i="2"/>
  <c r="O406" i="2"/>
  <c r="P403" i="2"/>
  <c r="N403" i="2"/>
  <c r="M403" i="2"/>
  <c r="L403" i="2"/>
  <c r="K401" i="2"/>
  <c r="J401" i="2"/>
  <c r="I401" i="2"/>
  <c r="K400" i="2"/>
  <c r="K399" i="2"/>
  <c r="N397" i="2"/>
  <c r="N395" i="2" s="1"/>
  <c r="M397" i="2"/>
  <c r="L397" i="2"/>
  <c r="L395" i="2" s="1"/>
  <c r="O395" i="2" s="1"/>
  <c r="P396" i="2"/>
  <c r="O396" i="2"/>
  <c r="N394" i="2"/>
  <c r="M394" i="2"/>
  <c r="L394" i="2"/>
  <c r="L392" i="2" s="1"/>
  <c r="O392" i="2" s="1"/>
  <c r="P393" i="2"/>
  <c r="O393" i="2"/>
  <c r="N390" i="2"/>
  <c r="M390" i="2"/>
  <c r="P390" i="2" s="1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L351" i="2" s="1"/>
  <c r="P352" i="2"/>
  <c r="O352" i="2"/>
  <c r="N350" i="2"/>
  <c r="N348" i="2" s="1"/>
  <c r="M350" i="2"/>
  <c r="L350" i="2"/>
  <c r="P349" i="2"/>
  <c r="O349" i="2"/>
  <c r="P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L334" i="2" s="1"/>
  <c r="O334" i="2" s="1"/>
  <c r="P335" i="2"/>
  <c r="O335" i="2"/>
  <c r="N333" i="2"/>
  <c r="N331" i="2" s="1"/>
  <c r="M333" i="2"/>
  <c r="L333" i="2"/>
  <c r="P332" i="2"/>
  <c r="O332" i="2"/>
  <c r="P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N318" i="2" s="1"/>
  <c r="M320" i="2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L304" i="2" s="1"/>
  <c r="O304" i="2" s="1"/>
  <c r="P305" i="2"/>
  <c r="O305" i="2"/>
  <c r="N303" i="2"/>
  <c r="N301" i="2" s="1"/>
  <c r="M303" i="2"/>
  <c r="L303" i="2"/>
  <c r="O303" i="2" s="1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J288" i="2" s="1"/>
  <c r="J275" i="2" s="1"/>
  <c r="I287" i="2"/>
  <c r="N285" i="2"/>
  <c r="N283" i="2" s="1"/>
  <c r="M285" i="2"/>
  <c r="L285" i="2"/>
  <c r="O285" i="2" s="1"/>
  <c r="P284" i="2"/>
  <c r="O284" i="2"/>
  <c r="N282" i="2"/>
  <c r="M282" i="2"/>
  <c r="L282" i="2"/>
  <c r="P281" i="2"/>
  <c r="O281" i="2"/>
  <c r="N278" i="2"/>
  <c r="M278" i="2"/>
  <c r="L278" i="2"/>
  <c r="O278" i="2" s="1"/>
  <c r="J276" i="2"/>
  <c r="I271" i="2"/>
  <c r="I260" i="2" s="1"/>
  <c r="N269" i="2"/>
  <c r="N267" i="2" s="1"/>
  <c r="M269" i="2"/>
  <c r="P269" i="2" s="1"/>
  <c r="L269" i="2"/>
  <c r="P268" i="2"/>
  <c r="O268" i="2"/>
  <c r="N266" i="2"/>
  <c r="N264" i="2" s="1"/>
  <c r="M266" i="2"/>
  <c r="L266" i="2"/>
  <c r="P265" i="2"/>
  <c r="O265" i="2"/>
  <c r="P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N227" i="2" s="1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26" i="2" s="1"/>
  <c r="J180" i="2" s="1"/>
  <c r="K236" i="2"/>
  <c r="J236" i="2"/>
  <c r="I236" i="2"/>
  <c r="K235" i="2"/>
  <c r="J235" i="2"/>
  <c r="I235" i="2"/>
  <c r="J233" i="2"/>
  <c r="N231" i="2"/>
  <c r="N230" i="2"/>
  <c r="N229" i="2"/>
  <c r="N228" i="2"/>
  <c r="I225" i="2"/>
  <c r="K225" i="2" s="1"/>
  <c r="I224" i="2"/>
  <c r="I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M186" i="2"/>
  <c r="M184" i="2" s="1"/>
  <c r="L186" i="2"/>
  <c r="L184" i="2" s="1"/>
  <c r="P185" i="2"/>
  <c r="O185" i="2"/>
  <c r="P182" i="2"/>
  <c r="O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M171" i="2" s="1"/>
  <c r="P171" i="2" s="1"/>
  <c r="L173" i="2"/>
  <c r="O173" i="2" s="1"/>
  <c r="P172" i="2"/>
  <c r="O172" i="2"/>
  <c r="N170" i="2"/>
  <c r="M170" i="2"/>
  <c r="M168" i="2" s="1"/>
  <c r="L170" i="2"/>
  <c r="L168" i="2" s="1"/>
  <c r="P169" i="2"/>
  <c r="O169" i="2"/>
  <c r="P166" i="2"/>
  <c r="O166" i="2"/>
  <c r="N166" i="2"/>
  <c r="M166" i="2"/>
  <c r="L166" i="2"/>
  <c r="I159" i="2"/>
  <c r="K159" i="2" s="1"/>
  <c r="N157" i="2"/>
  <c r="N155" i="2" s="1"/>
  <c r="M157" i="2"/>
  <c r="P157" i="2" s="1"/>
  <c r="L157" i="2"/>
  <c r="P156" i="2"/>
  <c r="O156" i="2"/>
  <c r="N154" i="2"/>
  <c r="N152" i="2" s="1"/>
  <c r="M154" i="2"/>
  <c r="M152" i="2" s="1"/>
  <c r="L154" i="2"/>
  <c r="P153" i="2"/>
  <c r="O153" i="2"/>
  <c r="P150" i="2"/>
  <c r="N150" i="2"/>
  <c r="M150" i="2"/>
  <c r="L150" i="2"/>
  <c r="J148" i="2"/>
  <c r="I146" i="2"/>
  <c r="I130" i="2" s="1"/>
  <c r="K130" i="2" s="1"/>
  <c r="I145" i="2"/>
  <c r="I144" i="2"/>
  <c r="K144" i="2" s="1"/>
  <c r="N140" i="2"/>
  <c r="N138" i="2" s="1"/>
  <c r="M140" i="2"/>
  <c r="M138" i="2" s="1"/>
  <c r="P138" i="2" s="1"/>
  <c r="L140" i="2"/>
  <c r="L138" i="2" s="1"/>
  <c r="O138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O133" i="2"/>
  <c r="N133" i="2"/>
  <c r="M133" i="2"/>
  <c r="P133" i="2" s="1"/>
  <c r="L133" i="2"/>
  <c r="J130" i="2"/>
  <c r="N127" i="2"/>
  <c r="N125" i="2" s="1"/>
  <c r="M127" i="2"/>
  <c r="M125" i="2" s="1"/>
  <c r="P125" i="2" s="1"/>
  <c r="L127" i="2"/>
  <c r="O127" i="2" s="1"/>
  <c r="P126" i="2"/>
  <c r="O126" i="2"/>
  <c r="N124" i="2"/>
  <c r="M124" i="2"/>
  <c r="L124" i="2"/>
  <c r="O124" i="2" s="1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K87" i="2" s="1"/>
  <c r="J98" i="2"/>
  <c r="I98" i="2"/>
  <c r="K98" i="2" s="1"/>
  <c r="N96" i="2"/>
  <c r="N94" i="2" s="1"/>
  <c r="M96" i="2"/>
  <c r="M94" i="2" s="1"/>
  <c r="P94" i="2" s="1"/>
  <c r="L96" i="2"/>
  <c r="L94" i="2" s="1"/>
  <c r="O94" i="2" s="1"/>
  <c r="P95" i="2"/>
  <c r="O95" i="2"/>
  <c r="N93" i="2"/>
  <c r="M93" i="2"/>
  <c r="M91" i="2" s="1"/>
  <c r="L93" i="2"/>
  <c r="L91" i="2" s="1"/>
  <c r="P92" i="2"/>
  <c r="O92" i="2"/>
  <c r="P89" i="2"/>
  <c r="N89" i="2"/>
  <c r="M89" i="2"/>
  <c r="L89" i="2"/>
  <c r="O89" i="2" s="1"/>
  <c r="J86" i="2"/>
  <c r="I84" i="2"/>
  <c r="K84" i="2" s="1"/>
  <c r="I83" i="2"/>
  <c r="K83" i="2" s="1"/>
  <c r="I82" i="2"/>
  <c r="K82" i="2" s="1"/>
  <c r="I81" i="2"/>
  <c r="K81" i="2" s="1"/>
  <c r="I80" i="2"/>
  <c r="I79" i="2"/>
  <c r="K79" i="2" s="1"/>
  <c r="I78" i="2"/>
  <c r="K78" i="2" s="1"/>
  <c r="J77" i="2"/>
  <c r="J76" i="2"/>
  <c r="J64" i="2" s="1"/>
  <c r="N74" i="2"/>
  <c r="N72" i="2" s="1"/>
  <c r="M74" i="2"/>
  <c r="P74" i="2" s="1"/>
  <c r="L74" i="2"/>
  <c r="L72" i="2" s="1"/>
  <c r="O72" i="2" s="1"/>
  <c r="P73" i="2"/>
  <c r="O73" i="2"/>
  <c r="N71" i="2"/>
  <c r="N69" i="2" s="1"/>
  <c r="M71" i="2"/>
  <c r="L71" i="2"/>
  <c r="L69" i="2" s="1"/>
  <c r="O69" i="2" s="1"/>
  <c r="P70" i="2"/>
  <c r="O70" i="2"/>
  <c r="O67" i="2"/>
  <c r="N67" i="2"/>
  <c r="M67" i="2"/>
  <c r="P67" i="2" s="1"/>
  <c r="L67" i="2"/>
  <c r="J65" i="2"/>
  <c r="N61" i="2"/>
  <c r="N59" i="2" s="1"/>
  <c r="M61" i="2"/>
  <c r="L61" i="2"/>
  <c r="O61" i="2" s="1"/>
  <c r="P60" i="2"/>
  <c r="O60" i="2"/>
  <c r="N58" i="2"/>
  <c r="M58" i="2"/>
  <c r="L58" i="2"/>
  <c r="L56" i="2" s="1"/>
  <c r="P57" i="2"/>
  <c r="O57" i="2"/>
  <c r="P54" i="2"/>
  <c r="N54" i="2"/>
  <c r="M54" i="2"/>
  <c r="L54" i="2"/>
  <c r="N49" i="2"/>
  <c r="N47" i="2" s="1"/>
  <c r="M49" i="2"/>
  <c r="P49" i="2" s="1"/>
  <c r="L49" i="2"/>
  <c r="L47" i="2" s="1"/>
  <c r="O47" i="2" s="1"/>
  <c r="P48" i="2"/>
  <c r="O48" i="2"/>
  <c r="N46" i="2"/>
  <c r="N44" i="2" s="1"/>
  <c r="M46" i="2"/>
  <c r="M44" i="2" s="1"/>
  <c r="L46" i="2"/>
  <c r="L44" i="2" s="1"/>
  <c r="P45" i="2"/>
  <c r="O45" i="2"/>
  <c r="O42" i="2"/>
  <c r="N42" i="2"/>
  <c r="M42" i="2"/>
  <c r="P42" i="2" s="1"/>
  <c r="L42" i="2"/>
  <c r="P36" i="2"/>
  <c r="N36" i="2"/>
  <c r="M36" i="2"/>
  <c r="O35" i="2"/>
  <c r="N35" i="2"/>
  <c r="N34" i="2" s="1"/>
  <c r="M35" i="2"/>
  <c r="P35" i="2" s="1"/>
  <c r="L35" i="2"/>
  <c r="N33" i="2"/>
  <c r="N30" i="2" s="1"/>
  <c r="M33" i="2"/>
  <c r="M31" i="2" s="1"/>
  <c r="P31" i="2" s="1"/>
  <c r="P32" i="2"/>
  <c r="N32" i="2"/>
  <c r="N29" i="2" s="1"/>
  <c r="M32" i="2"/>
  <c r="L32" i="2"/>
  <c r="M29" i="2"/>
  <c r="P29" i="2" s="1"/>
  <c r="N25" i="2"/>
  <c r="M25" i="2"/>
  <c r="M15" i="2" s="1"/>
  <c r="L25" i="2"/>
  <c r="O25" i="2" s="1"/>
  <c r="P22" i="2"/>
  <c r="N22" i="2"/>
  <c r="N19" i="2" s="1"/>
  <c r="M22" i="2"/>
  <c r="L22" i="2"/>
  <c r="O22" i="2" s="1"/>
  <c r="N15" i="2"/>
  <c r="M12" i="2"/>
  <c r="P12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O808" i="1"/>
  <c r="N808" i="1"/>
  <c r="M808" i="1"/>
  <c r="P808" i="1" s="1"/>
  <c r="L808" i="1"/>
  <c r="P807" i="1"/>
  <c r="N807" i="1"/>
  <c r="N805" i="1" s="1"/>
  <c r="M807" i="1"/>
  <c r="L807" i="1"/>
  <c r="O807" i="1" s="1"/>
  <c r="O806" i="1"/>
  <c r="N806" i="1"/>
  <c r="M806" i="1"/>
  <c r="L806" i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O796" i="1"/>
  <c r="N796" i="1"/>
  <c r="M796" i="1"/>
  <c r="P796" i="1" s="1"/>
  <c r="L796" i="1"/>
  <c r="N795" i="1"/>
  <c r="N794" i="1"/>
  <c r="N793" i="1"/>
  <c r="N792" i="1"/>
  <c r="P791" i="1"/>
  <c r="L791" i="1"/>
  <c r="L788" i="1" s="1"/>
  <c r="L786" i="1" s="1"/>
  <c r="P790" i="1"/>
  <c r="O790" i="1"/>
  <c r="P789" i="1"/>
  <c r="M789" i="1"/>
  <c r="M788" i="1"/>
  <c r="P788" i="1" s="1"/>
  <c r="P787" i="1"/>
  <c r="N787" i="1"/>
  <c r="M787" i="1"/>
  <c r="L787" i="1"/>
  <c r="O787" i="1" s="1"/>
  <c r="M786" i="1"/>
  <c r="P786" i="1" s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O773" i="1"/>
  <c r="M773" i="1"/>
  <c r="P773" i="1" s="1"/>
  <c r="L773" i="1"/>
  <c r="P772" i="1"/>
  <c r="M772" i="1"/>
  <c r="L772" i="1"/>
  <c r="O772" i="1" s="1"/>
  <c r="O771" i="1"/>
  <c r="N771" i="1"/>
  <c r="M771" i="1"/>
  <c r="P771" i="1" s="1"/>
  <c r="L771" i="1"/>
  <c r="L770" i="1" s="1"/>
  <c r="O770" i="1" s="1"/>
  <c r="P770" i="1"/>
  <c r="M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O757" i="1"/>
  <c r="M757" i="1"/>
  <c r="P757" i="1" s="1"/>
  <c r="L757" i="1"/>
  <c r="P756" i="1"/>
  <c r="M756" i="1"/>
  <c r="L756" i="1"/>
  <c r="O756" i="1" s="1"/>
  <c r="O755" i="1"/>
  <c r="N755" i="1"/>
  <c r="M755" i="1"/>
  <c r="P755" i="1" s="1"/>
  <c r="L755" i="1"/>
  <c r="P754" i="1"/>
  <c r="M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O740" i="1"/>
  <c r="M740" i="1"/>
  <c r="P740" i="1" s="1"/>
  <c r="L740" i="1"/>
  <c r="P739" i="1"/>
  <c r="M739" i="1"/>
  <c r="L739" i="1"/>
  <c r="O739" i="1" s="1"/>
  <c r="O738" i="1"/>
  <c r="N738" i="1"/>
  <c r="M738" i="1"/>
  <c r="P738" i="1" s="1"/>
  <c r="L738" i="1"/>
  <c r="L737" i="1" s="1"/>
  <c r="O737" i="1" s="1"/>
  <c r="P737" i="1"/>
  <c r="M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P690" i="1"/>
  <c r="L690" i="1"/>
  <c r="L687" i="1" s="1"/>
  <c r="L685" i="1" s="1"/>
  <c r="P688" i="1"/>
  <c r="M688" i="1"/>
  <c r="M687" i="1"/>
  <c r="P687" i="1" s="1"/>
  <c r="P686" i="1"/>
  <c r="N686" i="1"/>
  <c r="M686" i="1"/>
  <c r="L686" i="1"/>
  <c r="O686" i="1" s="1"/>
  <c r="M685" i="1"/>
  <c r="P685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O665" i="1"/>
  <c r="N665" i="1"/>
  <c r="M665" i="1"/>
  <c r="P665" i="1" s="1"/>
  <c r="L665" i="1"/>
  <c r="N664" i="1"/>
  <c r="N663" i="1"/>
  <c r="N662" i="1"/>
  <c r="N661" i="1"/>
  <c r="P660" i="1"/>
  <c r="L660" i="1"/>
  <c r="L658" i="1" s="1"/>
  <c r="P659" i="1"/>
  <c r="O659" i="1"/>
  <c r="P658" i="1"/>
  <c r="M658" i="1"/>
  <c r="M657" i="1"/>
  <c r="P657" i="1" s="1"/>
  <c r="P656" i="1"/>
  <c r="N656" i="1"/>
  <c r="M656" i="1"/>
  <c r="L656" i="1"/>
  <c r="O656" i="1" s="1"/>
  <c r="M655" i="1"/>
  <c r="P655" i="1" s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P634" i="1"/>
  <c r="L634" i="1"/>
  <c r="L632" i="1" s="1"/>
  <c r="P633" i="1"/>
  <c r="O633" i="1"/>
  <c r="P632" i="1"/>
  <c r="M632" i="1"/>
  <c r="M631" i="1"/>
  <c r="P631" i="1" s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M555" i="1"/>
  <c r="M545" i="1" s="1"/>
  <c r="P545" i="1" s="1"/>
  <c r="N554" i="1"/>
  <c r="N553" i="1"/>
  <c r="N552" i="1"/>
  <c r="N551" i="1"/>
  <c r="N550" i="1"/>
  <c r="P549" i="1"/>
  <c r="L549" i="1"/>
  <c r="L547" i="1" s="1"/>
  <c r="P548" i="1"/>
  <c r="O548" i="1"/>
  <c r="P547" i="1"/>
  <c r="M547" i="1"/>
  <c r="M546" i="1"/>
  <c r="P546" i="1" s="1"/>
  <c r="N545" i="1"/>
  <c r="L545" i="1"/>
  <c r="M544" i="1"/>
  <c r="P544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P528" i="1"/>
  <c r="L528" i="1"/>
  <c r="P527" i="1"/>
  <c r="O527" i="1"/>
  <c r="M526" i="1"/>
  <c r="P526" i="1" s="1"/>
  <c r="P525" i="1"/>
  <c r="M525" i="1"/>
  <c r="O524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N505" i="1" s="1"/>
  <c r="P506" i="1"/>
  <c r="O506" i="1"/>
  <c r="O505" i="1"/>
  <c r="M505" i="1"/>
  <c r="P505" i="1" s="1"/>
  <c r="L505" i="1"/>
  <c r="P504" i="1"/>
  <c r="N504" i="1"/>
  <c r="M504" i="1"/>
  <c r="L504" i="1"/>
  <c r="O504" i="1" s="1"/>
  <c r="O503" i="1"/>
  <c r="N503" i="1"/>
  <c r="N502" i="1" s="1"/>
  <c r="M503" i="1"/>
  <c r="L503" i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P472" i="1"/>
  <c r="L472" i="1"/>
  <c r="P471" i="1"/>
  <c r="O471" i="1"/>
  <c r="P470" i="1"/>
  <c r="M470" i="1"/>
  <c r="P469" i="1"/>
  <c r="M469" i="1"/>
  <c r="M467" i="1" s="1"/>
  <c r="P467" i="1" s="1"/>
  <c r="N468" i="1"/>
  <c r="M468" i="1"/>
  <c r="P468" i="1" s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P449" i="1"/>
  <c r="L449" i="1"/>
  <c r="P448" i="1"/>
  <c r="O448" i="1"/>
  <c r="P447" i="1"/>
  <c r="M447" i="1"/>
  <c r="P446" i="1"/>
  <c r="M446" i="1"/>
  <c r="M444" i="1" s="1"/>
  <c r="P444" i="1" s="1"/>
  <c r="P445" i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L429" i="1" s="1"/>
  <c r="O429" i="1" s="1"/>
  <c r="P430" i="1"/>
  <c r="O430" i="1"/>
  <c r="P429" i="1"/>
  <c r="N429" i="1"/>
  <c r="M429" i="1"/>
  <c r="N428" i="1"/>
  <c r="N427" i="1"/>
  <c r="N426" i="1"/>
  <c r="N425" i="1"/>
  <c r="P424" i="1"/>
  <c r="L424" i="1"/>
  <c r="P423" i="1"/>
  <c r="O423" i="1"/>
  <c r="P422" i="1"/>
  <c r="M422" i="1"/>
  <c r="M421" i="1"/>
  <c r="M419" i="1" s="1"/>
  <c r="O420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P394" i="1" s="1"/>
  <c r="L394" i="1"/>
  <c r="O394" i="1" s="1"/>
  <c r="P393" i="1"/>
  <c r="O393" i="1"/>
  <c r="P390" i="1"/>
  <c r="O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N348" i="1" s="1"/>
  <c r="M350" i="1"/>
  <c r="M348" i="1" s="1"/>
  <c r="L350" i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P335" i="1"/>
  <c r="O335" i="1"/>
  <c r="N333" i="1"/>
  <c r="M333" i="1"/>
  <c r="M331" i="1" s="1"/>
  <c r="L333" i="1"/>
  <c r="L331" i="1" s="1"/>
  <c r="P332" i="1"/>
  <c r="O332" i="1"/>
  <c r="N329" i="1"/>
  <c r="M329" i="1"/>
  <c r="P329" i="1" s="1"/>
  <c r="L329" i="1"/>
  <c r="O329" i="1" s="1"/>
  <c r="I327" i="1"/>
  <c r="J325" i="1"/>
  <c r="J314" i="1" s="1"/>
  <c r="I325" i="1"/>
  <c r="I314" i="1" s="1"/>
  <c r="N323" i="1"/>
  <c r="N321" i="1" s="1"/>
  <c r="M323" i="1"/>
  <c r="L323" i="1"/>
  <c r="O323" i="1" s="1"/>
  <c r="P322" i="1"/>
  <c r="O322" i="1"/>
  <c r="N320" i="1"/>
  <c r="N318" i="1" s="1"/>
  <c r="M320" i="1"/>
  <c r="M318" i="1" s="1"/>
  <c r="L320" i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O306" i="1" s="1"/>
  <c r="P305" i="1"/>
  <c r="O305" i="1"/>
  <c r="N303" i="1"/>
  <c r="M303" i="1"/>
  <c r="M301" i="1" s="1"/>
  <c r="L303" i="1"/>
  <c r="P302" i="1"/>
  <c r="O302" i="1"/>
  <c r="P299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O285" i="1" s="1"/>
  <c r="P284" i="1"/>
  <c r="O284" i="1"/>
  <c r="N282" i="1"/>
  <c r="N280" i="1" s="1"/>
  <c r="M282" i="1"/>
  <c r="L282" i="1"/>
  <c r="P281" i="1"/>
  <c r="O281" i="1"/>
  <c r="N278" i="1"/>
  <c r="M278" i="1"/>
  <c r="L278" i="1"/>
  <c r="O278" i="1" s="1"/>
  <c r="J271" i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M266" i="1"/>
  <c r="M264" i="1" s="1"/>
  <c r="L266" i="1"/>
  <c r="P265" i="1"/>
  <c r="O265" i="1"/>
  <c r="N262" i="1"/>
  <c r="M262" i="1"/>
  <c r="L262" i="1"/>
  <c r="O262" i="1" s="1"/>
  <c r="J258" i="1"/>
  <c r="I258" i="1"/>
  <c r="K258" i="1" s="1"/>
  <c r="J257" i="1"/>
  <c r="I257" i="1"/>
  <c r="J255" i="1"/>
  <c r="J248" i="1" s="1"/>
  <c r="I255" i="1"/>
  <c r="K255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N184" i="1" s="1"/>
  <c r="M186" i="1"/>
  <c r="M184" i="1" s="1"/>
  <c r="L186" i="1"/>
  <c r="P185" i="1"/>
  <c r="O185" i="1"/>
  <c r="N182" i="1"/>
  <c r="M182" i="1"/>
  <c r="L182" i="1"/>
  <c r="O182" i="1" s="1"/>
  <c r="J177" i="1"/>
  <c r="J176" i="1"/>
  <c r="J174" i="1" s="1"/>
  <c r="J164" i="1" s="1"/>
  <c r="I176" i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L170" i="1"/>
  <c r="L168" i="1" s="1"/>
  <c r="P169" i="1"/>
  <c r="O169" i="1"/>
  <c r="N166" i="1"/>
  <c r="M166" i="1"/>
  <c r="P166" i="1" s="1"/>
  <c r="L166" i="1"/>
  <c r="O166" i="1" s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N152" i="1" s="1"/>
  <c r="M154" i="1"/>
  <c r="M152" i="1" s="1"/>
  <c r="L154" i="1"/>
  <c r="P153" i="1"/>
  <c r="O153" i="1"/>
  <c r="O150" i="1"/>
  <c r="N150" i="1"/>
  <c r="M150" i="1"/>
  <c r="P150" i="1" s="1"/>
  <c r="L150" i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M138" i="1" s="1"/>
  <c r="L140" i="1"/>
  <c r="P139" i="1"/>
  <c r="O139" i="1"/>
  <c r="N137" i="1"/>
  <c r="N135" i="1" s="1"/>
  <c r="M137" i="1"/>
  <c r="L137" i="1"/>
  <c r="P136" i="1"/>
  <c r="O136" i="1"/>
  <c r="O133" i="1"/>
  <c r="N133" i="1"/>
  <c r="M133" i="1"/>
  <c r="P133" i="1" s="1"/>
  <c r="L133" i="1"/>
  <c r="N127" i="1"/>
  <c r="N125" i="1" s="1"/>
  <c r="M127" i="1"/>
  <c r="L127" i="1"/>
  <c r="L125" i="1" s="1"/>
  <c r="P126" i="1"/>
  <c r="O126" i="1"/>
  <c r="N124" i="1"/>
  <c r="N122" i="1" s="1"/>
  <c r="M124" i="1"/>
  <c r="P124" i="1" s="1"/>
  <c r="L124" i="1"/>
  <c r="O124" i="1" s="1"/>
  <c r="P123" i="1"/>
  <c r="O123" i="1"/>
  <c r="P120" i="1"/>
  <c r="N120" i="1"/>
  <c r="M120" i="1"/>
  <c r="L120" i="1"/>
  <c r="O120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P95" i="1"/>
  <c r="O95" i="1"/>
  <c r="N93" i="1"/>
  <c r="M93" i="1"/>
  <c r="M91" i="1" s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P73" i="1"/>
  <c r="O73" i="1"/>
  <c r="N71" i="1"/>
  <c r="M71" i="1"/>
  <c r="M69" i="1" s="1"/>
  <c r="L71" i="1"/>
  <c r="P70" i="1"/>
  <c r="O70" i="1"/>
  <c r="P67" i="1"/>
  <c r="N67" i="1"/>
  <c r="M67" i="1"/>
  <c r="L67" i="1"/>
  <c r="O67" i="1" s="1"/>
  <c r="N61" i="1"/>
  <c r="N59" i="1" s="1"/>
  <c r="M61" i="1"/>
  <c r="M59" i="1" s="1"/>
  <c r="L61" i="1"/>
  <c r="P60" i="1"/>
  <c r="O60" i="1"/>
  <c r="N58" i="1"/>
  <c r="N56" i="1" s="1"/>
  <c r="M58" i="1"/>
  <c r="L58" i="1"/>
  <c r="L56" i="1" s="1"/>
  <c r="P57" i="1"/>
  <c r="O57" i="1"/>
  <c r="O54" i="1"/>
  <c r="N54" i="1"/>
  <c r="M54" i="1"/>
  <c r="P54" i="1" s="1"/>
  <c r="L54" i="1"/>
  <c r="N49" i="1"/>
  <c r="M49" i="1"/>
  <c r="P49" i="1" s="1"/>
  <c r="L49" i="1"/>
  <c r="O49" i="1" s="1"/>
  <c r="P48" i="1"/>
  <c r="O48" i="1"/>
  <c r="N46" i="1"/>
  <c r="M46" i="1"/>
  <c r="L46" i="1"/>
  <c r="P45" i="1"/>
  <c r="O45" i="1"/>
  <c r="P42" i="1"/>
  <c r="N42" i="1"/>
  <c r="M42" i="1"/>
  <c r="L42" i="1"/>
  <c r="O42" i="1" s="1"/>
  <c r="N36" i="1"/>
  <c r="N34" i="1" s="1"/>
  <c r="M36" i="1"/>
  <c r="P36" i="1" s="1"/>
  <c r="N35" i="1"/>
  <c r="M35" i="1"/>
  <c r="P35" i="1" s="1"/>
  <c r="L35" i="1"/>
  <c r="O35" i="1" s="1"/>
  <c r="P33" i="1"/>
  <c r="M33" i="1"/>
  <c r="O32" i="1"/>
  <c r="N32" i="1"/>
  <c r="M32" i="1"/>
  <c r="M31" i="1" s="1"/>
  <c r="P31" i="1" s="1"/>
  <c r="L32" i="1"/>
  <c r="N29" i="1"/>
  <c r="M29" i="1"/>
  <c r="P29" i="1" s="1"/>
  <c r="P25" i="1"/>
  <c r="O25" i="1"/>
  <c r="N25" i="1"/>
  <c r="M25" i="1"/>
  <c r="L25" i="1"/>
  <c r="N22" i="1"/>
  <c r="N19" i="1" s="1"/>
  <c r="M22" i="1"/>
  <c r="P22" i="1" s="1"/>
  <c r="L22" i="1"/>
  <c r="O22" i="1" s="1"/>
  <c r="N15" i="1"/>
  <c r="M15" i="1"/>
  <c r="P15" i="1" s="1"/>
  <c r="L15" i="1"/>
  <c r="O15" i="1" s="1"/>
  <c r="L119" i="21" l="1"/>
  <c r="O119" i="21" s="1"/>
  <c r="M21" i="21"/>
  <c r="O68" i="21"/>
  <c r="O53" i="21"/>
  <c r="O165" i="21"/>
  <c r="P404" i="21"/>
  <c r="M119" i="21"/>
  <c r="P119" i="21" s="1"/>
  <c r="O330" i="21"/>
  <c r="L444" i="21"/>
  <c r="O444" i="21" s="1"/>
  <c r="O88" i="21"/>
  <c r="P328" i="21"/>
  <c r="P55" i="21"/>
  <c r="P165" i="21"/>
  <c r="L419" i="21"/>
  <c r="O419" i="21" s="1"/>
  <c r="N66" i="21"/>
  <c r="P66" i="21" s="1"/>
  <c r="L277" i="21"/>
  <c r="O277" i="21" s="1"/>
  <c r="P88" i="21"/>
  <c r="K364" i="21"/>
  <c r="O328" i="21"/>
  <c r="L30" i="21"/>
  <c r="O30" i="21" s="1"/>
  <c r="P23" i="21"/>
  <c r="P330" i="21"/>
  <c r="L655" i="21"/>
  <c r="O655" i="21" s="1"/>
  <c r="M53" i="21"/>
  <c r="P53" i="21" s="1"/>
  <c r="O43" i="21"/>
  <c r="O55" i="21"/>
  <c r="L34" i="21"/>
  <c r="O34" i="21" s="1"/>
  <c r="O181" i="21"/>
  <c r="O167" i="21"/>
  <c r="M149" i="21"/>
  <c r="P149" i="21" s="1"/>
  <c r="M298" i="21"/>
  <c r="P298" i="21" s="1"/>
  <c r="L31" i="21"/>
  <c r="O31" i="21" s="1"/>
  <c r="O90" i="21"/>
  <c r="O345" i="21"/>
  <c r="L523" i="21"/>
  <c r="O523" i="21" s="1"/>
  <c r="O183" i="21"/>
  <c r="N41" i="21"/>
  <c r="K417" i="21"/>
  <c r="K365" i="21"/>
  <c r="K433" i="21"/>
  <c r="L132" i="21"/>
  <c r="O132" i="21" s="1"/>
  <c r="L227" i="21"/>
  <c r="P43" i="21"/>
  <c r="O263" i="21"/>
  <c r="L261" i="21"/>
  <c r="O261" i="21" s="1"/>
  <c r="N21" i="21"/>
  <c r="P21" i="21" s="1"/>
  <c r="P68" i="21"/>
  <c r="P347" i="21"/>
  <c r="M345" i="21"/>
  <c r="P345" i="21" s="1"/>
  <c r="M277" i="21"/>
  <c r="P277" i="21" s="1"/>
  <c r="L544" i="21"/>
  <c r="O544" i="21" s="1"/>
  <c r="N13" i="21"/>
  <c r="N11" i="21" s="1"/>
  <c r="P11" i="21" s="1"/>
  <c r="O404" i="21"/>
  <c r="L402" i="21"/>
  <c r="O402" i="21" s="1"/>
  <c r="O56" i="21"/>
  <c r="P391" i="21"/>
  <c r="M389" i="21"/>
  <c r="P389" i="21" s="1"/>
  <c r="P183" i="21"/>
  <c r="O347" i="21"/>
  <c r="P134" i="21"/>
  <c r="M132" i="21"/>
  <c r="P132" i="21" s="1"/>
  <c r="P167" i="21"/>
  <c r="O151" i="21"/>
  <c r="L149" i="21"/>
  <c r="O149" i="21" s="1"/>
  <c r="O300" i="21"/>
  <c r="L298" i="21"/>
  <c r="O298" i="21" s="1"/>
  <c r="L467" i="21"/>
  <c r="O467" i="21" s="1"/>
  <c r="O317" i="21"/>
  <c r="L315" i="21"/>
  <c r="O315" i="21" s="1"/>
  <c r="P90" i="21"/>
  <c r="P29" i="21"/>
  <c r="M28" i="21"/>
  <c r="P28" i="21" s="1"/>
  <c r="P181" i="21"/>
  <c r="I418" i="21"/>
  <c r="K418" i="21" s="1"/>
  <c r="K434" i="21"/>
  <c r="L9" i="21"/>
  <c r="O12" i="21"/>
  <c r="M16" i="21"/>
  <c r="P26" i="21"/>
  <c r="O19" i="21"/>
  <c r="O391" i="21"/>
  <c r="L389" i="21"/>
  <c r="O389" i="21" s="1"/>
  <c r="M20" i="21"/>
  <c r="P15" i="21"/>
  <c r="K237" i="21"/>
  <c r="I226" i="21"/>
  <c r="O26" i="21"/>
  <c r="L16" i="21"/>
  <c r="L24" i="21"/>
  <c r="N9" i="21"/>
  <c r="K77" i="21"/>
  <c r="I65" i="21"/>
  <c r="K65" i="21" s="1"/>
  <c r="M414" i="21"/>
  <c r="P414" i="21" s="1"/>
  <c r="M24" i="21"/>
  <c r="N16" i="21"/>
  <c r="N14" i="21" s="1"/>
  <c r="N24" i="21"/>
  <c r="I64" i="21"/>
  <c r="K64" i="21" s="1"/>
  <c r="K76" i="21"/>
  <c r="K174" i="21"/>
  <c r="I164" i="21"/>
  <c r="K164" i="21" s="1"/>
  <c r="M9" i="21"/>
  <c r="N20" i="21"/>
  <c r="N18" i="21" s="1"/>
  <c r="O23" i="21"/>
  <c r="L20" i="21"/>
  <c r="L13" i="21"/>
  <c r="L11" i="21" s="1"/>
  <c r="K823" i="20"/>
  <c r="I785" i="20"/>
  <c r="L454" i="6"/>
  <c r="O454" i="6" s="1"/>
  <c r="L477" i="19"/>
  <c r="O477" i="19" s="1"/>
  <c r="L422" i="18"/>
  <c r="O422" i="18" s="1"/>
  <c r="L447" i="20"/>
  <c r="O447" i="20" s="1"/>
  <c r="L639" i="10"/>
  <c r="O639" i="10" s="1"/>
  <c r="L526" i="10"/>
  <c r="O526" i="10" s="1"/>
  <c r="L547" i="3"/>
  <c r="O547" i="3" s="1"/>
  <c r="L447" i="10"/>
  <c r="O447" i="10" s="1"/>
  <c r="L657" i="4"/>
  <c r="O657" i="4" s="1"/>
  <c r="L429" i="16"/>
  <c r="O429" i="16" s="1"/>
  <c r="L454" i="11"/>
  <c r="O454" i="11" s="1"/>
  <c r="O791" i="20"/>
  <c r="L429" i="3"/>
  <c r="O429" i="3" s="1"/>
  <c r="L788" i="3"/>
  <c r="O788" i="3" s="1"/>
  <c r="K359" i="20"/>
  <c r="K362" i="20"/>
  <c r="K385" i="20"/>
  <c r="L789" i="16"/>
  <c r="O789" i="16" s="1"/>
  <c r="M167" i="20"/>
  <c r="M165" i="20" s="1"/>
  <c r="M183" i="20"/>
  <c r="M181" i="20" s="1"/>
  <c r="L422" i="16"/>
  <c r="O422" i="16" s="1"/>
  <c r="L533" i="20"/>
  <c r="O533" i="20" s="1"/>
  <c r="L533" i="9"/>
  <c r="O533" i="9" s="1"/>
  <c r="L526" i="3"/>
  <c r="O526" i="3" s="1"/>
  <c r="L658" i="13"/>
  <c r="O658" i="13" s="1"/>
  <c r="L477" i="18"/>
  <c r="O477" i="18" s="1"/>
  <c r="L526" i="7"/>
  <c r="O526" i="7" s="1"/>
  <c r="M279" i="20"/>
  <c r="M277" i="20" s="1"/>
  <c r="I443" i="10"/>
  <c r="K443" i="10" s="1"/>
  <c r="L121" i="19"/>
  <c r="O121" i="19" s="1"/>
  <c r="K821" i="18"/>
  <c r="N121" i="19"/>
  <c r="N119" i="19" s="1"/>
  <c r="P397" i="16"/>
  <c r="I522" i="16"/>
  <c r="K522" i="16" s="1"/>
  <c r="L347" i="17"/>
  <c r="L345" i="17" s="1"/>
  <c r="M134" i="19"/>
  <c r="P134" i="19" s="1"/>
  <c r="K204" i="20"/>
  <c r="L209" i="20"/>
  <c r="O209" i="20" s="1"/>
  <c r="M125" i="19"/>
  <c r="P125" i="19" s="1"/>
  <c r="M135" i="19"/>
  <c r="P135" i="19" s="1"/>
  <c r="M138" i="19"/>
  <c r="P138" i="19" s="1"/>
  <c r="M171" i="20"/>
  <c r="P171" i="20" s="1"/>
  <c r="L231" i="20"/>
  <c r="P91" i="20"/>
  <c r="O186" i="20"/>
  <c r="K647" i="20"/>
  <c r="L555" i="15"/>
  <c r="O555" i="15" s="1"/>
  <c r="N55" i="20"/>
  <c r="N53" i="20" s="1"/>
  <c r="M330" i="17"/>
  <c r="M328" i="17" s="1"/>
  <c r="I433" i="18"/>
  <c r="I417" i="18" s="1"/>
  <c r="N151" i="19"/>
  <c r="N149" i="19" s="1"/>
  <c r="L347" i="19"/>
  <c r="L345" i="19" s="1"/>
  <c r="N151" i="20"/>
  <c r="N149" i="20" s="1"/>
  <c r="L55" i="20"/>
  <c r="N121" i="20"/>
  <c r="N119" i="20" s="1"/>
  <c r="M152" i="20"/>
  <c r="P152" i="20" s="1"/>
  <c r="L526" i="16"/>
  <c r="O526" i="16" s="1"/>
  <c r="M187" i="20"/>
  <c r="P187" i="20" s="1"/>
  <c r="L658" i="8"/>
  <c r="O658" i="8" s="1"/>
  <c r="I87" i="20"/>
  <c r="K87" i="20" s="1"/>
  <c r="L94" i="20"/>
  <c r="O94" i="20" s="1"/>
  <c r="M263" i="20"/>
  <c r="M261" i="20" s="1"/>
  <c r="I275" i="15"/>
  <c r="K275" i="15" s="1"/>
  <c r="L317" i="19"/>
  <c r="O317" i="19" s="1"/>
  <c r="K159" i="20"/>
  <c r="L283" i="20"/>
  <c r="O283" i="20" s="1"/>
  <c r="K360" i="20"/>
  <c r="K370" i="20"/>
  <c r="M318" i="19"/>
  <c r="P318" i="19" s="1"/>
  <c r="M321" i="19"/>
  <c r="P321" i="19" s="1"/>
  <c r="I434" i="19"/>
  <c r="I418" i="19" s="1"/>
  <c r="K418" i="19" s="1"/>
  <c r="I233" i="20"/>
  <c r="K233" i="20" s="1"/>
  <c r="L334" i="18"/>
  <c r="O334" i="18" s="1"/>
  <c r="L639" i="3"/>
  <c r="O639" i="3" s="1"/>
  <c r="I143" i="17"/>
  <c r="I131" i="17" s="1"/>
  <c r="N68" i="20"/>
  <c r="N66" i="20" s="1"/>
  <c r="J433" i="20"/>
  <c r="J417" i="20" s="1"/>
  <c r="L631" i="17"/>
  <c r="O631" i="17" s="1"/>
  <c r="L47" i="20"/>
  <c r="O47" i="20" s="1"/>
  <c r="N122" i="20"/>
  <c r="M125" i="20"/>
  <c r="P125" i="20" s="1"/>
  <c r="N134" i="20"/>
  <c r="N132" i="20" s="1"/>
  <c r="J785" i="20"/>
  <c r="L135" i="20"/>
  <c r="O135" i="20" s="1"/>
  <c r="L238" i="20"/>
  <c r="O238" i="20" s="1"/>
  <c r="L639" i="7"/>
  <c r="O639" i="7" s="1"/>
  <c r="I434" i="20"/>
  <c r="K434" i="20" s="1"/>
  <c r="O46" i="20"/>
  <c r="I174" i="20"/>
  <c r="K174" i="20" s="1"/>
  <c r="O348" i="20"/>
  <c r="P46" i="20"/>
  <c r="M121" i="20"/>
  <c r="P121" i="20" s="1"/>
  <c r="P348" i="20"/>
  <c r="K381" i="20"/>
  <c r="L631" i="20"/>
  <c r="O631" i="20" s="1"/>
  <c r="M43" i="17"/>
  <c r="M41" i="17" s="1"/>
  <c r="O71" i="18"/>
  <c r="L90" i="19"/>
  <c r="L88" i="19" s="1"/>
  <c r="L121" i="20"/>
  <c r="O121" i="20" s="1"/>
  <c r="L230" i="20"/>
  <c r="M391" i="20"/>
  <c r="M389" i="20" s="1"/>
  <c r="P389" i="20" s="1"/>
  <c r="K435" i="20"/>
  <c r="L546" i="20"/>
  <c r="L544" i="20" s="1"/>
  <c r="K821" i="20"/>
  <c r="K827" i="20"/>
  <c r="O186" i="17"/>
  <c r="O170" i="19"/>
  <c r="O173" i="19"/>
  <c r="O282" i="19"/>
  <c r="K378" i="20"/>
  <c r="M392" i="20"/>
  <c r="P392" i="20" s="1"/>
  <c r="O154" i="19"/>
  <c r="I314" i="19"/>
  <c r="K314" i="19" s="1"/>
  <c r="P350" i="19"/>
  <c r="N69" i="20"/>
  <c r="P69" i="20" s="1"/>
  <c r="P170" i="20"/>
  <c r="L183" i="20"/>
  <c r="L181" i="20" s="1"/>
  <c r="L658" i="12"/>
  <c r="O658" i="12" s="1"/>
  <c r="L658" i="18"/>
  <c r="O658" i="18" s="1"/>
  <c r="K700" i="18"/>
  <c r="K826" i="19"/>
  <c r="M184" i="20"/>
  <c r="P184" i="20" s="1"/>
  <c r="L187" i="20"/>
  <c r="O187" i="20" s="1"/>
  <c r="L198" i="20"/>
  <c r="O198" i="20" s="1"/>
  <c r="M334" i="20"/>
  <c r="P334" i="20" s="1"/>
  <c r="P410" i="20"/>
  <c r="I433" i="20"/>
  <c r="I417" i="20" s="1"/>
  <c r="K649" i="20"/>
  <c r="K822" i="20"/>
  <c r="K828" i="20"/>
  <c r="L167" i="19"/>
  <c r="L165" i="19" s="1"/>
  <c r="J722" i="19"/>
  <c r="K722" i="19" s="1"/>
  <c r="N135" i="20"/>
  <c r="M300" i="20"/>
  <c r="M298" i="20" s="1"/>
  <c r="P303" i="20"/>
  <c r="N300" i="20"/>
  <c r="N298" i="20" s="1"/>
  <c r="M317" i="20"/>
  <c r="P317" i="20" s="1"/>
  <c r="M347" i="20"/>
  <c r="M345" i="20" s="1"/>
  <c r="K440" i="20"/>
  <c r="I148" i="18"/>
  <c r="K148" i="18" s="1"/>
  <c r="L283" i="18"/>
  <c r="O283" i="18" s="1"/>
  <c r="L229" i="19"/>
  <c r="P44" i="20"/>
  <c r="P61" i="20"/>
  <c r="P137" i="20"/>
  <c r="O170" i="20"/>
  <c r="L217" i="20"/>
  <c r="O217" i="20" s="1"/>
  <c r="M304" i="20"/>
  <c r="P304" i="20" s="1"/>
  <c r="N317" i="20"/>
  <c r="N315" i="20" s="1"/>
  <c r="M330" i="20"/>
  <c r="M328" i="20" s="1"/>
  <c r="L469" i="20"/>
  <c r="L467" i="20" s="1"/>
  <c r="O467" i="20" s="1"/>
  <c r="I654" i="20"/>
  <c r="K654" i="20" s="1"/>
  <c r="K672" i="20"/>
  <c r="J721" i="20"/>
  <c r="L68" i="18"/>
  <c r="L66" i="18" s="1"/>
  <c r="I77" i="19"/>
  <c r="I65" i="19" s="1"/>
  <c r="K65" i="19" s="1"/>
  <c r="N391" i="19"/>
  <c r="N389" i="19" s="1"/>
  <c r="L279" i="20"/>
  <c r="L318" i="20"/>
  <c r="O318" i="20" s="1"/>
  <c r="P350" i="20"/>
  <c r="O353" i="20"/>
  <c r="L454" i="16"/>
  <c r="O454" i="16" s="1"/>
  <c r="K365" i="17"/>
  <c r="K651" i="17"/>
  <c r="K365" i="18"/>
  <c r="O303" i="19"/>
  <c r="M392" i="19"/>
  <c r="P392" i="19" s="1"/>
  <c r="L249" i="20"/>
  <c r="O249" i="20" s="1"/>
  <c r="K374" i="20"/>
  <c r="L421" i="20"/>
  <c r="L419" i="20" s="1"/>
  <c r="L533" i="15"/>
  <c r="O533" i="15" s="1"/>
  <c r="L447" i="18"/>
  <c r="O447" i="18" s="1"/>
  <c r="K822" i="12"/>
  <c r="O350" i="18"/>
  <c r="K378" i="18"/>
  <c r="K381" i="18"/>
  <c r="K699" i="19"/>
  <c r="N167" i="20"/>
  <c r="N165" i="20" s="1"/>
  <c r="L171" i="20"/>
  <c r="O171" i="20" s="1"/>
  <c r="I276" i="20"/>
  <c r="K276" i="20" s="1"/>
  <c r="O282" i="20"/>
  <c r="N279" i="20"/>
  <c r="K338" i="20"/>
  <c r="K379" i="20"/>
  <c r="L36" i="20"/>
  <c r="O36" i="20" s="1"/>
  <c r="K651" i="20"/>
  <c r="O660" i="20"/>
  <c r="K297" i="20"/>
  <c r="P56" i="17"/>
  <c r="N347" i="17"/>
  <c r="N345" i="17" s="1"/>
  <c r="I130" i="18"/>
  <c r="K130" i="18" s="1"/>
  <c r="N348" i="18"/>
  <c r="O348" i="18" s="1"/>
  <c r="P353" i="18"/>
  <c r="P46" i="19"/>
  <c r="N55" i="19"/>
  <c r="N53" i="19" s="1"/>
  <c r="N168" i="19"/>
  <c r="O168" i="19" s="1"/>
  <c r="L187" i="19"/>
  <c r="O187" i="19" s="1"/>
  <c r="K271" i="19"/>
  <c r="L321" i="19"/>
  <c r="O321" i="19" s="1"/>
  <c r="K360" i="19"/>
  <c r="K822" i="19"/>
  <c r="K825" i="19"/>
  <c r="K828" i="19"/>
  <c r="N43" i="20"/>
  <c r="N41" i="20" s="1"/>
  <c r="N56" i="20"/>
  <c r="P56" i="20" s="1"/>
  <c r="M59" i="20"/>
  <c r="P59" i="20" s="1"/>
  <c r="O71" i="20"/>
  <c r="M90" i="20"/>
  <c r="M88" i="20" s="1"/>
  <c r="N152" i="20"/>
  <c r="K224" i="20"/>
  <c r="I260" i="20"/>
  <c r="K260" i="20" s="1"/>
  <c r="N283" i="20"/>
  <c r="N304" i="20"/>
  <c r="M351" i="20"/>
  <c r="P351" i="20" s="1"/>
  <c r="N391" i="20"/>
  <c r="N389" i="20" s="1"/>
  <c r="I443" i="20"/>
  <c r="K443" i="20" s="1"/>
  <c r="O456" i="20"/>
  <c r="K700" i="20"/>
  <c r="K801" i="20"/>
  <c r="K826" i="20"/>
  <c r="M47" i="19"/>
  <c r="P47" i="19" s="1"/>
  <c r="L59" i="19"/>
  <c r="O59" i="19" s="1"/>
  <c r="L33" i="20"/>
  <c r="O33" i="20" s="1"/>
  <c r="L68" i="20"/>
  <c r="L72" i="20"/>
  <c r="O72" i="20" s="1"/>
  <c r="L134" i="20"/>
  <c r="O134" i="20" s="1"/>
  <c r="L138" i="20"/>
  <c r="O138" i="20" s="1"/>
  <c r="N183" i="20"/>
  <c r="N181" i="20" s="1"/>
  <c r="I190" i="20"/>
  <c r="K190" i="20" s="1"/>
  <c r="M318" i="20"/>
  <c r="P318" i="20" s="1"/>
  <c r="P320" i="20"/>
  <c r="O528" i="20"/>
  <c r="P410" i="18"/>
  <c r="M59" i="19"/>
  <c r="P59" i="19" s="1"/>
  <c r="N90" i="19"/>
  <c r="N88" i="19" s="1"/>
  <c r="N330" i="19"/>
  <c r="N328" i="19" s="1"/>
  <c r="M94" i="20"/>
  <c r="P94" i="20" s="1"/>
  <c r="K146" i="20"/>
  <c r="L168" i="20"/>
  <c r="O168" i="20" s="1"/>
  <c r="I208" i="20"/>
  <c r="K208" i="20" s="1"/>
  <c r="L229" i="20"/>
  <c r="N263" i="20"/>
  <c r="N261" i="20" s="1"/>
  <c r="P266" i="20"/>
  <c r="L263" i="20"/>
  <c r="L261" i="20" s="1"/>
  <c r="K309" i="20"/>
  <c r="M321" i="20"/>
  <c r="P321" i="20" s="1"/>
  <c r="J327" i="20"/>
  <c r="K327" i="20" s="1"/>
  <c r="N347" i="20"/>
  <c r="K355" i="20"/>
  <c r="L404" i="20"/>
  <c r="L446" i="20"/>
  <c r="L525" i="20"/>
  <c r="J722" i="20"/>
  <c r="K824" i="20"/>
  <c r="I174" i="17"/>
  <c r="K174" i="17" s="1"/>
  <c r="I364" i="18"/>
  <c r="N94" i="19"/>
  <c r="P96" i="19"/>
  <c r="I148" i="19"/>
  <c r="K148" i="19" s="1"/>
  <c r="L155" i="19"/>
  <c r="O155" i="19" s="1"/>
  <c r="L230" i="19"/>
  <c r="P301" i="19"/>
  <c r="M404" i="19"/>
  <c r="M402" i="19" s="1"/>
  <c r="P402" i="19" s="1"/>
  <c r="M26" i="20"/>
  <c r="M16" i="20" s="1"/>
  <c r="I76" i="20"/>
  <c r="P140" i="20"/>
  <c r="M168" i="20"/>
  <c r="P168" i="20" s="1"/>
  <c r="L184" i="20"/>
  <c r="O184" i="20" s="1"/>
  <c r="P264" i="20"/>
  <c r="L300" i="20"/>
  <c r="L317" i="20"/>
  <c r="L330" i="20"/>
  <c r="L328" i="20" s="1"/>
  <c r="K340" i="20"/>
  <c r="M395" i="20"/>
  <c r="P395" i="20" s="1"/>
  <c r="M404" i="20"/>
  <c r="P404" i="20" s="1"/>
  <c r="K592" i="20"/>
  <c r="J628" i="20"/>
  <c r="K628" i="20" s="1"/>
  <c r="K674" i="20"/>
  <c r="K699" i="20"/>
  <c r="K825" i="20"/>
  <c r="L55" i="19"/>
  <c r="L53" i="19" s="1"/>
  <c r="L231" i="19"/>
  <c r="M267" i="19"/>
  <c r="P267" i="19" s="1"/>
  <c r="K340" i="19"/>
  <c r="K359" i="19"/>
  <c r="L405" i="19"/>
  <c r="O405" i="19" s="1"/>
  <c r="M55" i="20"/>
  <c r="M53" i="20" s="1"/>
  <c r="P58" i="20"/>
  <c r="L167" i="20"/>
  <c r="P186" i="20"/>
  <c r="M267" i="20"/>
  <c r="P267" i="20" s="1"/>
  <c r="N301" i="20"/>
  <c r="P301" i="20" s="1"/>
  <c r="O350" i="20"/>
  <c r="O351" i="20"/>
  <c r="K369" i="20"/>
  <c r="K372" i="20"/>
  <c r="P407" i="20"/>
  <c r="I442" i="20"/>
  <c r="K442" i="20" s="1"/>
  <c r="O479" i="20"/>
  <c r="L655" i="20"/>
  <c r="L279" i="19"/>
  <c r="K355" i="19"/>
  <c r="J364" i="19"/>
  <c r="N12" i="20"/>
  <c r="M15" i="20"/>
  <c r="M19" i="20"/>
  <c r="O22" i="20"/>
  <c r="L19" i="20"/>
  <c r="L12" i="20"/>
  <c r="N23" i="20"/>
  <c r="N21" i="20" s="1"/>
  <c r="L26" i="20"/>
  <c r="M68" i="20"/>
  <c r="K79" i="20"/>
  <c r="I77" i="20"/>
  <c r="O93" i="20"/>
  <c r="O127" i="20"/>
  <c r="L125" i="20"/>
  <c r="O125" i="20" s="1"/>
  <c r="J143" i="20"/>
  <c r="J131" i="20" s="1"/>
  <c r="K145" i="20"/>
  <c r="I143" i="20"/>
  <c r="M151" i="20"/>
  <c r="P151" i="20" s="1"/>
  <c r="O154" i="20"/>
  <c r="L152" i="20"/>
  <c r="O152" i="20" s="1"/>
  <c r="L47" i="17"/>
  <c r="O47" i="17" s="1"/>
  <c r="L55" i="17"/>
  <c r="L53" i="17" s="1"/>
  <c r="N167" i="17"/>
  <c r="N165" i="17" s="1"/>
  <c r="I275" i="17"/>
  <c r="N43" i="18"/>
  <c r="N41" i="18" s="1"/>
  <c r="I216" i="18"/>
  <c r="K216" i="18" s="1"/>
  <c r="K560" i="18"/>
  <c r="J722" i="18"/>
  <c r="K801" i="18"/>
  <c r="N68" i="19"/>
  <c r="N66" i="19" s="1"/>
  <c r="O96" i="19"/>
  <c r="K99" i="19"/>
  <c r="N122" i="19"/>
  <c r="L125" i="19"/>
  <c r="O125" i="19" s="1"/>
  <c r="N263" i="19"/>
  <c r="N261" i="19" s="1"/>
  <c r="O266" i="19"/>
  <c r="N279" i="19"/>
  <c r="N277" i="19" s="1"/>
  <c r="L304" i="19"/>
  <c r="O304" i="19" s="1"/>
  <c r="M300" i="19"/>
  <c r="M298" i="19" s="1"/>
  <c r="K338" i="19"/>
  <c r="K370" i="19"/>
  <c r="K381" i="19"/>
  <c r="M391" i="19"/>
  <c r="P391" i="19" s="1"/>
  <c r="M405" i="19"/>
  <c r="P405" i="19" s="1"/>
  <c r="M408" i="19"/>
  <c r="P408" i="19" s="1"/>
  <c r="L631" i="19"/>
  <c r="L629" i="19" s="1"/>
  <c r="L658" i="19"/>
  <c r="O658" i="19" s="1"/>
  <c r="K823" i="19"/>
  <c r="N26" i="20"/>
  <c r="M30" i="20"/>
  <c r="P30" i="20" s="1"/>
  <c r="P32" i="20"/>
  <c r="N34" i="20"/>
  <c r="O61" i="20"/>
  <c r="L59" i="20"/>
  <c r="O59" i="20" s="1"/>
  <c r="P71" i="20"/>
  <c r="L91" i="20"/>
  <c r="O91" i="20" s="1"/>
  <c r="K98" i="20"/>
  <c r="P124" i="20"/>
  <c r="O157" i="20"/>
  <c r="L155" i="20"/>
  <c r="O155" i="20" s="1"/>
  <c r="L228" i="20"/>
  <c r="O266" i="20"/>
  <c r="L264" i="20"/>
  <c r="O264" i="20" s="1"/>
  <c r="N331" i="20"/>
  <c r="P333" i="20"/>
  <c r="N330" i="20"/>
  <c r="O282" i="17"/>
  <c r="K385" i="17"/>
  <c r="M391" i="17"/>
  <c r="P391" i="17" s="1"/>
  <c r="N68" i="18"/>
  <c r="N66" i="18" s="1"/>
  <c r="M151" i="18"/>
  <c r="P151" i="18" s="1"/>
  <c r="I297" i="18"/>
  <c r="K297" i="18" s="1"/>
  <c r="I443" i="18"/>
  <c r="K443" i="18" s="1"/>
  <c r="L525" i="18"/>
  <c r="O525" i="18" s="1"/>
  <c r="N44" i="19"/>
  <c r="O44" i="19" s="1"/>
  <c r="O46" i="19"/>
  <c r="M55" i="19"/>
  <c r="I76" i="19"/>
  <c r="P91" i="19"/>
  <c r="I130" i="19"/>
  <c r="K130" i="19" s="1"/>
  <c r="P282" i="19"/>
  <c r="O301" i="19"/>
  <c r="L318" i="19"/>
  <c r="O318" i="19" s="1"/>
  <c r="P333" i="19"/>
  <c r="K379" i="19"/>
  <c r="K651" i="19"/>
  <c r="K725" i="19"/>
  <c r="M29" i="20"/>
  <c r="L43" i="20"/>
  <c r="O67" i="20"/>
  <c r="L90" i="20"/>
  <c r="P93" i="20"/>
  <c r="M134" i="20"/>
  <c r="M155" i="20"/>
  <c r="P155" i="20" s="1"/>
  <c r="J288" i="20"/>
  <c r="J275" i="20" s="1"/>
  <c r="I275" i="20"/>
  <c r="O303" i="20"/>
  <c r="L301" i="20"/>
  <c r="O269" i="20"/>
  <c r="L267" i="20"/>
  <c r="O267" i="20" s="1"/>
  <c r="N405" i="20"/>
  <c r="N404" i="20"/>
  <c r="N402" i="20" s="1"/>
  <c r="O46" i="17"/>
  <c r="L69" i="18"/>
  <c r="O69" i="18" s="1"/>
  <c r="I208" i="18"/>
  <c r="K208" i="18" s="1"/>
  <c r="N26" i="19"/>
  <c r="N16" i="19" s="1"/>
  <c r="I208" i="19"/>
  <c r="K208" i="19" s="1"/>
  <c r="L283" i="19"/>
  <c r="O283" i="19" s="1"/>
  <c r="L404" i="19"/>
  <c r="O404" i="19" s="1"/>
  <c r="L525" i="19"/>
  <c r="O525" i="19" s="1"/>
  <c r="L23" i="20"/>
  <c r="N28" i="20"/>
  <c r="L41" i="20"/>
  <c r="M43" i="20"/>
  <c r="P54" i="20"/>
  <c r="O58" i="20"/>
  <c r="L56" i="20"/>
  <c r="O124" i="20"/>
  <c r="L122" i="20"/>
  <c r="O122" i="20" s="1"/>
  <c r="N227" i="20"/>
  <c r="O278" i="20"/>
  <c r="P282" i="20"/>
  <c r="M280" i="20"/>
  <c r="P280" i="20" s="1"/>
  <c r="I364" i="20"/>
  <c r="K365" i="20"/>
  <c r="P403" i="20"/>
  <c r="L44" i="20"/>
  <c r="O44" i="20" s="1"/>
  <c r="O150" i="20"/>
  <c r="K708" i="12"/>
  <c r="P71" i="17"/>
  <c r="M121" i="18"/>
  <c r="M119" i="18" s="1"/>
  <c r="L167" i="18"/>
  <c r="L165" i="18" s="1"/>
  <c r="O397" i="18"/>
  <c r="J721" i="18"/>
  <c r="L122" i="19"/>
  <c r="O122" i="19" s="1"/>
  <c r="M121" i="19"/>
  <c r="P121" i="19" s="1"/>
  <c r="P157" i="19"/>
  <c r="K255" i="19"/>
  <c r="M263" i="19"/>
  <c r="M261" i="19" s="1"/>
  <c r="O280" i="19"/>
  <c r="M334" i="19"/>
  <c r="P334" i="19" s="1"/>
  <c r="M348" i="19"/>
  <c r="P348" i="19" s="1"/>
  <c r="K385" i="19"/>
  <c r="L391" i="19"/>
  <c r="O391" i="19" s="1"/>
  <c r="K649" i="19"/>
  <c r="L657" i="19"/>
  <c r="O657" i="19" s="1"/>
  <c r="K729" i="19"/>
  <c r="M12" i="20"/>
  <c r="M23" i="20"/>
  <c r="M21" i="20" s="1"/>
  <c r="P49" i="20"/>
  <c r="P74" i="20"/>
  <c r="N90" i="20"/>
  <c r="K111" i="20"/>
  <c r="I112" i="20"/>
  <c r="K112" i="20" s="1"/>
  <c r="K115" i="20"/>
  <c r="L151" i="20"/>
  <c r="O151" i="20" s="1"/>
  <c r="O280" i="20"/>
  <c r="P285" i="20"/>
  <c r="M283" i="20"/>
  <c r="P283" i="20" s="1"/>
  <c r="O306" i="20"/>
  <c r="L304" i="20"/>
  <c r="O304" i="20" s="1"/>
  <c r="K325" i="20"/>
  <c r="I314" i="20"/>
  <c r="K314" i="20" s="1"/>
  <c r="J364" i="20"/>
  <c r="O397" i="20"/>
  <c r="L395" i="20"/>
  <c r="O395" i="20" s="1"/>
  <c r="L391" i="20"/>
  <c r="N687" i="20"/>
  <c r="N688" i="20"/>
  <c r="O262" i="20"/>
  <c r="P807" i="20"/>
  <c r="M805" i="20"/>
  <c r="P805" i="20" s="1"/>
  <c r="K720" i="19"/>
  <c r="K821" i="19"/>
  <c r="P120" i="20"/>
  <c r="P150" i="20"/>
  <c r="I237" i="20"/>
  <c r="K244" i="20"/>
  <c r="P262" i="20"/>
  <c r="P299" i="20"/>
  <c r="O336" i="20"/>
  <c r="L347" i="20"/>
  <c r="P353" i="20"/>
  <c r="O394" i="20"/>
  <c r="L392" i="20"/>
  <c r="O392" i="20" s="1"/>
  <c r="N421" i="20"/>
  <c r="N419" i="20" s="1"/>
  <c r="N422" i="20"/>
  <c r="O549" i="20"/>
  <c r="K561" i="20"/>
  <c r="K559" i="20"/>
  <c r="I543" i="20"/>
  <c r="K543" i="20" s="1"/>
  <c r="N685" i="20"/>
  <c r="O690" i="20"/>
  <c r="N756" i="20"/>
  <c r="N754" i="20" s="1"/>
  <c r="N757" i="20"/>
  <c r="O772" i="20"/>
  <c r="L770" i="20"/>
  <c r="O770" i="20" s="1"/>
  <c r="O806" i="20"/>
  <c r="L805" i="20"/>
  <c r="O805" i="20" s="1"/>
  <c r="O333" i="20"/>
  <c r="P469" i="20"/>
  <c r="M467" i="20"/>
  <c r="P467" i="20" s="1"/>
  <c r="O504" i="20"/>
  <c r="L502" i="20"/>
  <c r="O502" i="20" s="1"/>
  <c r="P524" i="20"/>
  <c r="M523" i="20"/>
  <c r="P523" i="20" s="1"/>
  <c r="N546" i="20"/>
  <c r="N544" i="20" s="1"/>
  <c r="N547" i="20"/>
  <c r="L632" i="20"/>
  <c r="O634" i="20"/>
  <c r="O739" i="20"/>
  <c r="L737" i="20"/>
  <c r="O737" i="20" s="1"/>
  <c r="N772" i="20"/>
  <c r="N770" i="20" s="1"/>
  <c r="N773" i="20"/>
  <c r="N805" i="20"/>
  <c r="I248" i="20"/>
  <c r="K248" i="20" s="1"/>
  <c r="O468" i="20"/>
  <c r="I522" i="20"/>
  <c r="K522" i="20" s="1"/>
  <c r="K537" i="20"/>
  <c r="L639" i="20"/>
  <c r="O639" i="20" s="1"/>
  <c r="O641" i="20"/>
  <c r="O688" i="20"/>
  <c r="L321" i="20"/>
  <c r="O321" i="20" s="1"/>
  <c r="N470" i="20"/>
  <c r="O470" i="20" s="1"/>
  <c r="N504" i="20"/>
  <c r="N502" i="20" s="1"/>
  <c r="N505" i="20"/>
  <c r="J537" i="20"/>
  <c r="J522" i="20" s="1"/>
  <c r="K569" i="20"/>
  <c r="N631" i="20"/>
  <c r="N629" i="20" s="1"/>
  <c r="N632" i="20"/>
  <c r="N739" i="20"/>
  <c r="N737" i="20" s="1"/>
  <c r="N740" i="20"/>
  <c r="O756" i="20"/>
  <c r="L754" i="20"/>
  <c r="O754" i="20" s="1"/>
  <c r="O407" i="20"/>
  <c r="O410" i="20"/>
  <c r="L422" i="20"/>
  <c r="O422" i="20" s="1"/>
  <c r="L429" i="20"/>
  <c r="O429" i="20" s="1"/>
  <c r="O472" i="20"/>
  <c r="L547" i="20"/>
  <c r="O547" i="20" s="1"/>
  <c r="L555" i="20"/>
  <c r="O555" i="20" s="1"/>
  <c r="O656" i="20"/>
  <c r="K669" i="20"/>
  <c r="K673" i="20"/>
  <c r="L687" i="20"/>
  <c r="L685" i="20" s="1"/>
  <c r="O685" i="20" s="1"/>
  <c r="M502" i="20"/>
  <c r="P502" i="20" s="1"/>
  <c r="K593" i="20"/>
  <c r="M629" i="20"/>
  <c r="P629" i="20" s="1"/>
  <c r="M737" i="20"/>
  <c r="P737" i="20" s="1"/>
  <c r="M754" i="20"/>
  <c r="P754" i="20" s="1"/>
  <c r="M770" i="20"/>
  <c r="P770" i="20" s="1"/>
  <c r="L786" i="20"/>
  <c r="N788" i="20"/>
  <c r="O788" i="20" s="1"/>
  <c r="M545" i="20"/>
  <c r="K576" i="20"/>
  <c r="M685" i="20"/>
  <c r="P685" i="20" s="1"/>
  <c r="M786" i="20"/>
  <c r="P786" i="20" s="1"/>
  <c r="N657" i="20"/>
  <c r="O657" i="20" s="1"/>
  <c r="N90" i="17"/>
  <c r="N88" i="17" s="1"/>
  <c r="M134" i="17"/>
  <c r="M132" i="17" s="1"/>
  <c r="J721" i="17"/>
  <c r="K721" i="17" s="1"/>
  <c r="L789" i="17"/>
  <c r="O789" i="17" s="1"/>
  <c r="M334" i="18"/>
  <c r="P334" i="18" s="1"/>
  <c r="L392" i="18"/>
  <c r="O392" i="18" s="1"/>
  <c r="N391" i="18"/>
  <c r="N389" i="18" s="1"/>
  <c r="L56" i="19"/>
  <c r="O56" i="19" s="1"/>
  <c r="K79" i="19"/>
  <c r="L91" i="19"/>
  <c r="O91" i="19" s="1"/>
  <c r="J143" i="19"/>
  <c r="J131" i="19" s="1"/>
  <c r="I190" i="19"/>
  <c r="K190" i="19" s="1"/>
  <c r="M264" i="19"/>
  <c r="P264" i="19" s="1"/>
  <c r="M279" i="19"/>
  <c r="M317" i="19"/>
  <c r="P317" i="19" s="1"/>
  <c r="K362" i="19"/>
  <c r="K378" i="19"/>
  <c r="N404" i="19"/>
  <c r="N402" i="19" s="1"/>
  <c r="O431" i="19"/>
  <c r="K440" i="19"/>
  <c r="L469" i="19"/>
  <c r="L467" i="19" s="1"/>
  <c r="K537" i="19"/>
  <c r="K576" i="19"/>
  <c r="L632" i="19"/>
  <c r="K723" i="19"/>
  <c r="O350" i="12"/>
  <c r="N279" i="17"/>
  <c r="N277" i="17" s="1"/>
  <c r="M122" i="18"/>
  <c r="P122" i="18" s="1"/>
  <c r="N151" i="18"/>
  <c r="N149" i="18" s="1"/>
  <c r="L229" i="18"/>
  <c r="I314" i="18"/>
  <c r="K314" i="18" s="1"/>
  <c r="M395" i="18"/>
  <c r="P395" i="18" s="1"/>
  <c r="P56" i="19"/>
  <c r="L152" i="19"/>
  <c r="N317" i="19"/>
  <c r="N315" i="19" s="1"/>
  <c r="J537" i="19"/>
  <c r="J522" i="19" s="1"/>
  <c r="K647" i="19"/>
  <c r="L788" i="19"/>
  <c r="O788" i="19" s="1"/>
  <c r="K824" i="19"/>
  <c r="K827" i="19"/>
  <c r="L283" i="17"/>
  <c r="O283" i="17" s="1"/>
  <c r="L300" i="18"/>
  <c r="O300" i="18" s="1"/>
  <c r="O306" i="18"/>
  <c r="M347" i="18"/>
  <c r="M345" i="18" s="1"/>
  <c r="K374" i="18"/>
  <c r="O58" i="19"/>
  <c r="M68" i="19"/>
  <c r="M66" i="19" s="1"/>
  <c r="O93" i="19"/>
  <c r="L151" i="19"/>
  <c r="N152" i="19"/>
  <c r="P152" i="19" s="1"/>
  <c r="L183" i="19"/>
  <c r="L181" i="19" s="1"/>
  <c r="P266" i="19"/>
  <c r="I276" i="19"/>
  <c r="K276" i="19" s="1"/>
  <c r="M331" i="19"/>
  <c r="P331" i="19" s="1"/>
  <c r="K374" i="19"/>
  <c r="I433" i="19"/>
  <c r="I417" i="19" s="1"/>
  <c r="J721" i="19"/>
  <c r="K721" i="19" s="1"/>
  <c r="L167" i="13"/>
  <c r="L165" i="13" s="1"/>
  <c r="O58" i="16"/>
  <c r="L56" i="17"/>
  <c r="O56" i="17" s="1"/>
  <c r="L59" i="17"/>
  <c r="O59" i="17" s="1"/>
  <c r="N183" i="17"/>
  <c r="N181" i="17" s="1"/>
  <c r="I197" i="18"/>
  <c r="K197" i="18" s="1"/>
  <c r="L217" i="18"/>
  <c r="O217" i="18" s="1"/>
  <c r="K360" i="18"/>
  <c r="K372" i="18"/>
  <c r="P58" i="19"/>
  <c r="P69" i="19"/>
  <c r="I86" i="19"/>
  <c r="K86" i="19" s="1"/>
  <c r="O124" i="19"/>
  <c r="N134" i="19"/>
  <c r="N132" i="19" s="1"/>
  <c r="M151" i="19"/>
  <c r="P154" i="19"/>
  <c r="N167" i="19"/>
  <c r="L217" i="19"/>
  <c r="O217" i="19" s="1"/>
  <c r="K260" i="19"/>
  <c r="L263" i="19"/>
  <c r="L261" i="19" s="1"/>
  <c r="P280" i="19"/>
  <c r="L300" i="19"/>
  <c r="L298" i="19" s="1"/>
  <c r="P306" i="19"/>
  <c r="I442" i="19"/>
  <c r="K442" i="19" s="1"/>
  <c r="L533" i="19"/>
  <c r="O533" i="19" s="1"/>
  <c r="L229" i="13"/>
  <c r="K576" i="17"/>
  <c r="K726" i="17"/>
  <c r="L788" i="17"/>
  <c r="O788" i="17" s="1"/>
  <c r="K824" i="17"/>
  <c r="P125" i="18"/>
  <c r="M171" i="18"/>
  <c r="P171" i="18" s="1"/>
  <c r="M391" i="18"/>
  <c r="M389" i="18" s="1"/>
  <c r="P389" i="18" s="1"/>
  <c r="L33" i="19"/>
  <c r="L31" i="19" s="1"/>
  <c r="L43" i="19"/>
  <c r="L41" i="19" s="1"/>
  <c r="O264" i="19"/>
  <c r="O269" i="19"/>
  <c r="P285" i="19"/>
  <c r="N347" i="19"/>
  <c r="N345" i="19" s="1"/>
  <c r="M347" i="19"/>
  <c r="M345" i="19" s="1"/>
  <c r="K372" i="19"/>
  <c r="N392" i="19"/>
  <c r="M395" i="19"/>
  <c r="P395" i="19" s="1"/>
  <c r="O791" i="19"/>
  <c r="K143" i="18"/>
  <c r="I131" i="18"/>
  <c r="K131" i="18" s="1"/>
  <c r="K78" i="18"/>
  <c r="I76" i="18"/>
  <c r="I64" i="18" s="1"/>
  <c r="K64" i="18" s="1"/>
  <c r="M34" i="19"/>
  <c r="P34" i="19" s="1"/>
  <c r="M15" i="19"/>
  <c r="K115" i="19"/>
  <c r="I112" i="19"/>
  <c r="K112" i="19" s="1"/>
  <c r="I174" i="19"/>
  <c r="K176" i="19"/>
  <c r="K369" i="15"/>
  <c r="K372" i="15"/>
  <c r="M404" i="16"/>
  <c r="P404" i="16" s="1"/>
  <c r="K700" i="16"/>
  <c r="J722" i="16"/>
  <c r="L33" i="17"/>
  <c r="O33" i="17" s="1"/>
  <c r="N283" i="17"/>
  <c r="L301" i="17"/>
  <c r="O301" i="17" s="1"/>
  <c r="K378" i="17"/>
  <c r="K701" i="17"/>
  <c r="L135" i="18"/>
  <c r="O135" i="18" s="1"/>
  <c r="O137" i="18"/>
  <c r="K145" i="18"/>
  <c r="P264" i="18"/>
  <c r="J327" i="18"/>
  <c r="K327" i="18" s="1"/>
  <c r="L546" i="18"/>
  <c r="O546" i="18" s="1"/>
  <c r="L9" i="19"/>
  <c r="O12" i="19"/>
  <c r="M23" i="19"/>
  <c r="M21" i="19" s="1"/>
  <c r="M44" i="19"/>
  <c r="M43" i="19"/>
  <c r="M41" i="19" s="1"/>
  <c r="L135" i="19"/>
  <c r="O135" i="19" s="1"/>
  <c r="L134" i="19"/>
  <c r="O134" i="19" s="1"/>
  <c r="I197" i="19"/>
  <c r="K197" i="19" s="1"/>
  <c r="L209" i="19"/>
  <c r="O209" i="19" s="1"/>
  <c r="N134" i="17"/>
  <c r="N132" i="17" s="1"/>
  <c r="P69" i="18"/>
  <c r="M90" i="18"/>
  <c r="M88" i="18" s="1"/>
  <c r="M167" i="18"/>
  <c r="M165" i="18" s="1"/>
  <c r="K255" i="18"/>
  <c r="I248" i="18"/>
  <c r="K248" i="18" s="1"/>
  <c r="I522" i="18"/>
  <c r="K522" i="18" s="1"/>
  <c r="K537" i="18"/>
  <c r="P33" i="19"/>
  <c r="M30" i="19"/>
  <c r="P30" i="19" s="1"/>
  <c r="M31" i="19"/>
  <c r="P31" i="19" s="1"/>
  <c r="L69" i="19"/>
  <c r="O69" i="19" s="1"/>
  <c r="L68" i="19"/>
  <c r="L23" i="19"/>
  <c r="N183" i="19"/>
  <c r="N23" i="19"/>
  <c r="O186" i="19"/>
  <c r="N184" i="19"/>
  <c r="O184" i="19" s="1"/>
  <c r="N347" i="15"/>
  <c r="N345" i="15" s="1"/>
  <c r="K369" i="16"/>
  <c r="N68" i="17"/>
  <c r="N66" i="17" s="1"/>
  <c r="L639" i="17"/>
  <c r="O639" i="17" s="1"/>
  <c r="M23" i="18"/>
  <c r="M13" i="18" s="1"/>
  <c r="L26" i="18"/>
  <c r="L24" i="18" s="1"/>
  <c r="P46" i="18"/>
  <c r="L155" i="18"/>
  <c r="O155" i="18" s="1"/>
  <c r="P35" i="19"/>
  <c r="O182" i="19"/>
  <c r="M187" i="19"/>
  <c r="P187" i="19" s="1"/>
  <c r="P189" i="19"/>
  <c r="P316" i="19"/>
  <c r="I433" i="17"/>
  <c r="I417" i="17" s="1"/>
  <c r="N183" i="18"/>
  <c r="N181" i="18" s="1"/>
  <c r="M19" i="19"/>
  <c r="M12" i="19"/>
  <c r="O25" i="19"/>
  <c r="M29" i="19"/>
  <c r="L138" i="19"/>
  <c r="O138" i="19" s="1"/>
  <c r="O140" i="19"/>
  <c r="L26" i="19"/>
  <c r="I216" i="19"/>
  <c r="K216" i="19" s="1"/>
  <c r="K224" i="19"/>
  <c r="K244" i="19"/>
  <c r="I237" i="19"/>
  <c r="I233" i="19"/>
  <c r="K233" i="19" s="1"/>
  <c r="N446" i="19"/>
  <c r="N444" i="19" s="1"/>
  <c r="N447" i="19"/>
  <c r="N33" i="19"/>
  <c r="N30" i="19" s="1"/>
  <c r="K462" i="19"/>
  <c r="I443" i="19"/>
  <c r="K443" i="19" s="1"/>
  <c r="N788" i="19"/>
  <c r="N786" i="19" s="1"/>
  <c r="N789" i="19"/>
  <c r="I785" i="19"/>
  <c r="K785" i="19" s="1"/>
  <c r="K800" i="19"/>
  <c r="J592" i="19"/>
  <c r="K593" i="19"/>
  <c r="L155" i="16"/>
  <c r="O155" i="16" s="1"/>
  <c r="L469" i="16"/>
  <c r="L467" i="16" s="1"/>
  <c r="I148" i="17"/>
  <c r="K148" i="17" s="1"/>
  <c r="L187" i="17"/>
  <c r="O187" i="17" s="1"/>
  <c r="K647" i="17"/>
  <c r="L688" i="17"/>
  <c r="O688" i="17" s="1"/>
  <c r="K99" i="18"/>
  <c r="L122" i="18"/>
  <c r="O122" i="18" s="1"/>
  <c r="O282" i="18"/>
  <c r="L279" i="18"/>
  <c r="L277" i="18" s="1"/>
  <c r="N395" i="18"/>
  <c r="O410" i="18"/>
  <c r="L408" i="18"/>
  <c r="O408" i="18" s="1"/>
  <c r="L15" i="19"/>
  <c r="O19" i="19"/>
  <c r="N31" i="19"/>
  <c r="N12" i="19"/>
  <c r="N29" i="19"/>
  <c r="P42" i="19"/>
  <c r="N47" i="19"/>
  <c r="N43" i="19"/>
  <c r="O71" i="19"/>
  <c r="M26" i="19"/>
  <c r="M72" i="19"/>
  <c r="P72" i="19" s="1"/>
  <c r="M168" i="19"/>
  <c r="P170" i="19"/>
  <c r="M167" i="19"/>
  <c r="J275" i="19"/>
  <c r="K288" i="19"/>
  <c r="I297" i="19"/>
  <c r="K297" i="19" s="1"/>
  <c r="K309" i="19"/>
  <c r="O447" i="19"/>
  <c r="L422" i="19"/>
  <c r="O422" i="19" s="1"/>
  <c r="O424" i="19"/>
  <c r="O127" i="18"/>
  <c r="M283" i="18"/>
  <c r="P283" i="18" s="1"/>
  <c r="N330" i="18"/>
  <c r="N328" i="18" s="1"/>
  <c r="P350" i="18"/>
  <c r="O353" i="18"/>
  <c r="L391" i="18"/>
  <c r="O391" i="18" s="1"/>
  <c r="L404" i="18"/>
  <c r="O404" i="18" s="1"/>
  <c r="N404" i="18"/>
  <c r="N402" i="18" s="1"/>
  <c r="I434" i="18"/>
  <c r="I418" i="18" s="1"/>
  <c r="K418" i="18" s="1"/>
  <c r="K649" i="18"/>
  <c r="O32" i="19"/>
  <c r="L29" i="19"/>
  <c r="L36" i="19"/>
  <c r="O49" i="19"/>
  <c r="P71" i="19"/>
  <c r="P93" i="19"/>
  <c r="P124" i="19"/>
  <c r="M171" i="19"/>
  <c r="P171" i="19" s="1"/>
  <c r="P173" i="19"/>
  <c r="N300" i="19"/>
  <c r="P303" i="19"/>
  <c r="M330" i="19"/>
  <c r="L331" i="19"/>
  <c r="O331" i="19" s="1"/>
  <c r="O333" i="19"/>
  <c r="L330" i="19"/>
  <c r="J327" i="19"/>
  <c r="K327" i="19" s="1"/>
  <c r="N688" i="19"/>
  <c r="N687" i="19"/>
  <c r="N685" i="19" s="1"/>
  <c r="J143" i="18"/>
  <c r="J131" i="18" s="1"/>
  <c r="N347" i="18"/>
  <c r="K359" i="18"/>
  <c r="N15" i="19"/>
  <c r="M184" i="19"/>
  <c r="P186" i="19"/>
  <c r="L228" i="19"/>
  <c r="L249" i="19"/>
  <c r="O249" i="19" s="1"/>
  <c r="O410" i="19"/>
  <c r="L408" i="19"/>
  <c r="O408" i="19" s="1"/>
  <c r="P807" i="19"/>
  <c r="M805" i="19"/>
  <c r="P805" i="19" s="1"/>
  <c r="K647" i="18"/>
  <c r="K827" i="18"/>
  <c r="M183" i="19"/>
  <c r="L238" i="19"/>
  <c r="P351" i="19"/>
  <c r="P353" i="19"/>
  <c r="K369" i="19"/>
  <c r="O445" i="19"/>
  <c r="L446" i="19"/>
  <c r="O446" i="19" s="1"/>
  <c r="O456" i="19"/>
  <c r="L454" i="19"/>
  <c r="O454" i="19" s="1"/>
  <c r="N469" i="19"/>
  <c r="N470" i="19"/>
  <c r="O470" i="19" s="1"/>
  <c r="P555" i="19"/>
  <c r="M545" i="19"/>
  <c r="P630" i="19"/>
  <c r="M629" i="19"/>
  <c r="P629" i="19" s="1"/>
  <c r="O787" i="19"/>
  <c r="O806" i="19"/>
  <c r="L805" i="19"/>
  <c r="O805" i="19" s="1"/>
  <c r="N134" i="18"/>
  <c r="N132" i="18" s="1"/>
  <c r="I275" i="18"/>
  <c r="K369" i="18"/>
  <c r="K385" i="18"/>
  <c r="K822" i="18"/>
  <c r="K828" i="18"/>
  <c r="N19" i="19"/>
  <c r="O74" i="19"/>
  <c r="K80" i="19"/>
  <c r="M90" i="19"/>
  <c r="L198" i="19"/>
  <c r="O198" i="19" s="1"/>
  <c r="L421" i="19"/>
  <c r="N632" i="19"/>
  <c r="O634" i="19"/>
  <c r="N631" i="19"/>
  <c r="P503" i="19"/>
  <c r="M502" i="19"/>
  <c r="P502" i="19" s="1"/>
  <c r="N544" i="19"/>
  <c r="K674" i="19"/>
  <c r="K673" i="19"/>
  <c r="K669" i="19"/>
  <c r="K672" i="19"/>
  <c r="K675" i="19"/>
  <c r="P686" i="19"/>
  <c r="M685" i="19"/>
  <c r="P685" i="19" s="1"/>
  <c r="P329" i="19"/>
  <c r="L334" i="19"/>
  <c r="O334" i="19" s="1"/>
  <c r="O336" i="19"/>
  <c r="L348" i="19"/>
  <c r="O348" i="19" s="1"/>
  <c r="O350" i="19"/>
  <c r="I364" i="19"/>
  <c r="K365" i="19"/>
  <c r="L392" i="19"/>
  <c r="O392" i="19" s="1"/>
  <c r="O394" i="19"/>
  <c r="O528" i="19"/>
  <c r="L526" i="19"/>
  <c r="O526" i="19" s="1"/>
  <c r="O549" i="19"/>
  <c r="J594" i="19"/>
  <c r="K594" i="19" s="1"/>
  <c r="O656" i="19"/>
  <c r="P420" i="19"/>
  <c r="M419" i="19"/>
  <c r="O472" i="19"/>
  <c r="K592" i="19"/>
  <c r="M655" i="19"/>
  <c r="P655" i="19" s="1"/>
  <c r="O690" i="19"/>
  <c r="L687" i="19"/>
  <c r="L688" i="19"/>
  <c r="P755" i="19"/>
  <c r="M754" i="19"/>
  <c r="P754" i="19" s="1"/>
  <c r="P771" i="19"/>
  <c r="M770" i="19"/>
  <c r="P770" i="19" s="1"/>
  <c r="I143" i="19"/>
  <c r="I275" i="19"/>
  <c r="P346" i="19"/>
  <c r="L351" i="19"/>
  <c r="O351" i="19" s="1"/>
  <c r="O353" i="19"/>
  <c r="P390" i="19"/>
  <c r="L395" i="19"/>
  <c r="O395" i="19" s="1"/>
  <c r="O397" i="19"/>
  <c r="N419" i="19"/>
  <c r="O449" i="19"/>
  <c r="L546" i="19"/>
  <c r="L555" i="19"/>
  <c r="O555" i="19" s="1"/>
  <c r="O557" i="19"/>
  <c r="K559" i="19"/>
  <c r="I543" i="19"/>
  <c r="K543" i="19" s="1"/>
  <c r="K700" i="19"/>
  <c r="P738" i="19"/>
  <c r="M737" i="19"/>
  <c r="P737" i="19" s="1"/>
  <c r="M786" i="19"/>
  <c r="P786" i="19" s="1"/>
  <c r="I628" i="19"/>
  <c r="K628" i="19" s="1"/>
  <c r="J433" i="19"/>
  <c r="J417" i="19" s="1"/>
  <c r="L454" i="3"/>
  <c r="O454" i="3" s="1"/>
  <c r="N263" i="16"/>
  <c r="N261" i="16" s="1"/>
  <c r="P93" i="17"/>
  <c r="M121" i="17"/>
  <c r="P121" i="17" s="1"/>
  <c r="P140" i="17"/>
  <c r="M263" i="17"/>
  <c r="M261" i="17" s="1"/>
  <c r="M304" i="17"/>
  <c r="P304" i="17" s="1"/>
  <c r="I314" i="17"/>
  <c r="K314" i="17" s="1"/>
  <c r="K649" i="17"/>
  <c r="K823" i="17"/>
  <c r="K826" i="17"/>
  <c r="L43" i="18"/>
  <c r="O46" i="18"/>
  <c r="O56" i="18"/>
  <c r="I86" i="18"/>
  <c r="K86" i="18" s="1"/>
  <c r="L23" i="18"/>
  <c r="L21" i="18" s="1"/>
  <c r="P124" i="18"/>
  <c r="L138" i="18"/>
  <c r="O138" i="18" s="1"/>
  <c r="M183" i="18"/>
  <c r="M181" i="18" s="1"/>
  <c r="L249" i="18"/>
  <c r="O249" i="18" s="1"/>
  <c r="I260" i="18"/>
  <c r="K260" i="18" s="1"/>
  <c r="N263" i="18"/>
  <c r="N261" i="18" s="1"/>
  <c r="M279" i="18"/>
  <c r="M277" i="18" s="1"/>
  <c r="M317" i="18"/>
  <c r="P317" i="18" s="1"/>
  <c r="K340" i="18"/>
  <c r="L470" i="18"/>
  <c r="O470" i="18" s="1"/>
  <c r="K594" i="18"/>
  <c r="J785" i="18"/>
  <c r="K824" i="18"/>
  <c r="M44" i="17"/>
  <c r="L405" i="17"/>
  <c r="O405" i="17" s="1"/>
  <c r="P407" i="17"/>
  <c r="M152" i="18"/>
  <c r="P152" i="18" s="1"/>
  <c r="P154" i="18"/>
  <c r="L231" i="18"/>
  <c r="L267" i="18"/>
  <c r="O267" i="18" s="1"/>
  <c r="L280" i="18"/>
  <c r="O280" i="18" s="1"/>
  <c r="L301" i="18"/>
  <c r="O301" i="18" s="1"/>
  <c r="M318" i="18"/>
  <c r="P318" i="18" s="1"/>
  <c r="L122" i="17"/>
  <c r="O122" i="17" s="1"/>
  <c r="M138" i="17"/>
  <c r="P138" i="17" s="1"/>
  <c r="M151" i="17"/>
  <c r="P151" i="17" s="1"/>
  <c r="O351" i="17"/>
  <c r="M68" i="18"/>
  <c r="M66" i="18" s="1"/>
  <c r="P71" i="18"/>
  <c r="L134" i="18"/>
  <c r="O134" i="18" s="1"/>
  <c r="O173" i="18"/>
  <c r="P184" i="18"/>
  <c r="P186" i="18"/>
  <c r="P280" i="18"/>
  <c r="N351" i="18"/>
  <c r="P351" i="18" s="1"/>
  <c r="M392" i="18"/>
  <c r="P392" i="18" s="1"/>
  <c r="L405" i="18"/>
  <c r="O405" i="18" s="1"/>
  <c r="K440" i="18"/>
  <c r="J537" i="18"/>
  <c r="J522" i="18" s="1"/>
  <c r="K568" i="18"/>
  <c r="K621" i="18"/>
  <c r="I216" i="16"/>
  <c r="K216" i="16" s="1"/>
  <c r="L167" i="17"/>
  <c r="O167" i="17" s="1"/>
  <c r="J275" i="17"/>
  <c r="P353" i="17"/>
  <c r="L47" i="18"/>
  <c r="O47" i="18" s="1"/>
  <c r="L72" i="18"/>
  <c r="O72" i="18" s="1"/>
  <c r="M94" i="18"/>
  <c r="P94" i="18" s="1"/>
  <c r="M155" i="18"/>
  <c r="P155" i="18" s="1"/>
  <c r="M187" i="18"/>
  <c r="P187" i="18" s="1"/>
  <c r="K193" i="18"/>
  <c r="L198" i="18"/>
  <c r="O198" i="18" s="1"/>
  <c r="L209" i="18"/>
  <c r="O209" i="18" s="1"/>
  <c r="P282" i="18"/>
  <c r="K338" i="18"/>
  <c r="K355" i="18"/>
  <c r="K362" i="18"/>
  <c r="K370" i="18"/>
  <c r="P394" i="18"/>
  <c r="J433" i="18"/>
  <c r="P58" i="16"/>
  <c r="M69" i="17"/>
  <c r="M72" i="17"/>
  <c r="P72" i="17" s="1"/>
  <c r="P331" i="18"/>
  <c r="L347" i="18"/>
  <c r="K823" i="18"/>
  <c r="K237" i="18"/>
  <c r="O350" i="13"/>
  <c r="O353" i="13"/>
  <c r="K675" i="17"/>
  <c r="O44" i="18"/>
  <c r="N91" i="18"/>
  <c r="P91" i="18" s="1"/>
  <c r="N90" i="18"/>
  <c r="P93" i="18"/>
  <c r="I112" i="18"/>
  <c r="K112" i="18" s="1"/>
  <c r="K115" i="18"/>
  <c r="L230" i="18"/>
  <c r="P262" i="18"/>
  <c r="K288" i="18"/>
  <c r="J275" i="18"/>
  <c r="O431" i="18"/>
  <c r="L421" i="18"/>
  <c r="O421" i="18" s="1"/>
  <c r="L429" i="18"/>
  <c r="O429" i="18" s="1"/>
  <c r="L36" i="18"/>
  <c r="O771" i="18"/>
  <c r="L770" i="18"/>
  <c r="O770" i="18" s="1"/>
  <c r="J722" i="15"/>
  <c r="K193" i="16"/>
  <c r="L217" i="16"/>
  <c r="O217" i="16" s="1"/>
  <c r="P46" i="17"/>
  <c r="M68" i="17"/>
  <c r="M90" i="17"/>
  <c r="M88" i="17" s="1"/>
  <c r="L171" i="17"/>
  <c r="O171" i="17" s="1"/>
  <c r="K255" i="17"/>
  <c r="M283" i="17"/>
  <c r="P283" i="17" s="1"/>
  <c r="J327" i="17"/>
  <c r="K327" i="17" s="1"/>
  <c r="I522" i="17"/>
  <c r="K522" i="17" s="1"/>
  <c r="L658" i="17"/>
  <c r="O658" i="17" s="1"/>
  <c r="O660" i="17"/>
  <c r="K720" i="17"/>
  <c r="K728" i="17"/>
  <c r="K828" i="17"/>
  <c r="N19" i="18"/>
  <c r="N34" i="18"/>
  <c r="M44" i="18"/>
  <c r="P44" i="18" s="1"/>
  <c r="O61" i="18"/>
  <c r="L59" i="18"/>
  <c r="O59" i="18" s="1"/>
  <c r="L55" i="18"/>
  <c r="M72" i="18"/>
  <c r="P72" i="18" s="1"/>
  <c r="P74" i="18"/>
  <c r="N122" i="18"/>
  <c r="N121" i="18"/>
  <c r="K675" i="18"/>
  <c r="I654" i="18"/>
  <c r="K654" i="18" s="1"/>
  <c r="K674" i="18"/>
  <c r="K672" i="18"/>
  <c r="K673" i="18"/>
  <c r="M91" i="17"/>
  <c r="L263" i="17"/>
  <c r="L261" i="17" s="1"/>
  <c r="L280" i="17"/>
  <c r="O280" i="17" s="1"/>
  <c r="M279" i="17"/>
  <c r="M277" i="17" s="1"/>
  <c r="M301" i="17"/>
  <c r="P301" i="17" s="1"/>
  <c r="K340" i="17"/>
  <c r="N391" i="17"/>
  <c r="N389" i="17" s="1"/>
  <c r="L408" i="17"/>
  <c r="O408" i="17" s="1"/>
  <c r="K460" i="17"/>
  <c r="K725" i="17"/>
  <c r="M15" i="18"/>
  <c r="N23" i="18"/>
  <c r="N21" i="18" s="1"/>
  <c r="M29" i="18"/>
  <c r="P56" i="18"/>
  <c r="P58" i="18"/>
  <c r="M55" i="18"/>
  <c r="M53" i="18" s="1"/>
  <c r="P61" i="18"/>
  <c r="O67" i="18"/>
  <c r="O133" i="18"/>
  <c r="L168" i="18"/>
  <c r="O170" i="18"/>
  <c r="I233" i="18"/>
  <c r="K233" i="18" s="1"/>
  <c r="K244" i="18"/>
  <c r="O266" i="18"/>
  <c r="L263" i="18"/>
  <c r="P503" i="18"/>
  <c r="M502" i="18"/>
  <c r="P502" i="18" s="1"/>
  <c r="K669" i="18"/>
  <c r="L688" i="18"/>
  <c r="O688" i="18" s="1"/>
  <c r="O690" i="18"/>
  <c r="L789" i="9"/>
  <c r="O789" i="9" s="1"/>
  <c r="P150" i="18"/>
  <c r="N283" i="18"/>
  <c r="N279" i="18"/>
  <c r="N277" i="18" s="1"/>
  <c r="M304" i="18"/>
  <c r="P304" i="18" s="1"/>
  <c r="P306" i="18"/>
  <c r="O656" i="18"/>
  <c r="L655" i="18"/>
  <c r="O655" i="18" s="1"/>
  <c r="I76" i="15"/>
  <c r="I64" i="15" s="1"/>
  <c r="K64" i="15" s="1"/>
  <c r="M167" i="15"/>
  <c r="M165" i="15" s="1"/>
  <c r="K822" i="15"/>
  <c r="K828" i="15"/>
  <c r="M330" i="16"/>
  <c r="M328" i="16" s="1"/>
  <c r="N91" i="17"/>
  <c r="O91" i="17" s="1"/>
  <c r="L94" i="17"/>
  <c r="O94" i="17" s="1"/>
  <c r="I112" i="17"/>
  <c r="K112" i="17" s="1"/>
  <c r="L183" i="17"/>
  <c r="P186" i="17"/>
  <c r="I260" i="17"/>
  <c r="K260" i="17" s="1"/>
  <c r="O266" i="17"/>
  <c r="M280" i="17"/>
  <c r="P280" i="17" s="1"/>
  <c r="N317" i="17"/>
  <c r="N315" i="17" s="1"/>
  <c r="I364" i="17"/>
  <c r="K379" i="17"/>
  <c r="N395" i="17"/>
  <c r="K672" i="17"/>
  <c r="O22" i="18"/>
  <c r="L19" i="18"/>
  <c r="L12" i="18"/>
  <c r="N28" i="18"/>
  <c r="M34" i="18"/>
  <c r="P34" i="18" s="1"/>
  <c r="M43" i="18"/>
  <c r="M59" i="18"/>
  <c r="P59" i="18" s="1"/>
  <c r="K79" i="18"/>
  <c r="I77" i="18"/>
  <c r="O93" i="18"/>
  <c r="L90" i="18"/>
  <c r="L125" i="18"/>
  <c r="O125" i="18" s="1"/>
  <c r="P133" i="18"/>
  <c r="J164" i="18"/>
  <c r="P182" i="18"/>
  <c r="L187" i="18"/>
  <c r="O187" i="18" s="1"/>
  <c r="O189" i="18"/>
  <c r="L238" i="18"/>
  <c r="L228" i="18"/>
  <c r="M300" i="18"/>
  <c r="P300" i="18" s="1"/>
  <c r="L321" i="18"/>
  <c r="O321" i="18" s="1"/>
  <c r="O333" i="18"/>
  <c r="L330" i="18"/>
  <c r="O456" i="18"/>
  <c r="L446" i="18"/>
  <c r="O446" i="18" s="1"/>
  <c r="L454" i="18"/>
  <c r="O454" i="18" s="1"/>
  <c r="J628" i="18"/>
  <c r="K628" i="18" s="1"/>
  <c r="K651" i="18"/>
  <c r="P49" i="18"/>
  <c r="M26" i="18"/>
  <c r="L184" i="18"/>
  <c r="O184" i="18" s="1"/>
  <c r="O186" i="18"/>
  <c r="L183" i="18"/>
  <c r="M405" i="18"/>
  <c r="P405" i="18" s="1"/>
  <c r="P407" i="18"/>
  <c r="L230" i="16"/>
  <c r="K822" i="16"/>
  <c r="K828" i="16"/>
  <c r="L155" i="17"/>
  <c r="O155" i="17" s="1"/>
  <c r="L229" i="17"/>
  <c r="L267" i="17"/>
  <c r="O267" i="17" s="1"/>
  <c r="P282" i="17"/>
  <c r="M318" i="17"/>
  <c r="P318" i="17" s="1"/>
  <c r="N330" i="17"/>
  <c r="N328" i="17" s="1"/>
  <c r="P350" i="17"/>
  <c r="O547" i="17"/>
  <c r="I654" i="17"/>
  <c r="N12" i="18"/>
  <c r="P22" i="18"/>
  <c r="M19" i="18"/>
  <c r="M12" i="18"/>
  <c r="M30" i="18"/>
  <c r="P30" i="18" s="1"/>
  <c r="L33" i="18"/>
  <c r="O42" i="18"/>
  <c r="N55" i="18"/>
  <c r="N53" i="18" s="1"/>
  <c r="L121" i="18"/>
  <c r="P140" i="18"/>
  <c r="M138" i="18"/>
  <c r="P138" i="18" s="1"/>
  <c r="M134" i="18"/>
  <c r="P134" i="18" s="1"/>
  <c r="K144" i="18"/>
  <c r="O154" i="18"/>
  <c r="L151" i="18"/>
  <c r="L152" i="18"/>
  <c r="O152" i="18" s="1"/>
  <c r="N168" i="18"/>
  <c r="P168" i="18" s="1"/>
  <c r="P170" i="18"/>
  <c r="N167" i="18"/>
  <c r="L264" i="18"/>
  <c r="O264" i="18" s="1"/>
  <c r="O299" i="18"/>
  <c r="M301" i="18"/>
  <c r="P301" i="18" s="1"/>
  <c r="P303" i="18"/>
  <c r="M321" i="18"/>
  <c r="P321" i="18" s="1"/>
  <c r="L331" i="18"/>
  <c r="O331" i="18" s="1"/>
  <c r="M330" i="18"/>
  <c r="P333" i="18"/>
  <c r="J364" i="18"/>
  <c r="K379" i="18"/>
  <c r="M404" i="18"/>
  <c r="O788" i="18"/>
  <c r="O690" i="17"/>
  <c r="K723" i="17"/>
  <c r="P137" i="18"/>
  <c r="M135" i="18"/>
  <c r="P135" i="18" s="1"/>
  <c r="N300" i="18"/>
  <c r="N298" i="18" s="1"/>
  <c r="L317" i="18"/>
  <c r="O320" i="18"/>
  <c r="I543" i="18"/>
  <c r="K543" i="18" s="1"/>
  <c r="L786" i="18"/>
  <c r="O786" i="18" s="1"/>
  <c r="K822" i="17"/>
  <c r="K825" i="17"/>
  <c r="N26" i="18"/>
  <c r="O58" i="18"/>
  <c r="L94" i="18"/>
  <c r="O94" i="18" s="1"/>
  <c r="P127" i="18"/>
  <c r="I164" i="18"/>
  <c r="K164" i="18" s="1"/>
  <c r="K174" i="18"/>
  <c r="P266" i="18"/>
  <c r="K287" i="18"/>
  <c r="L318" i="18"/>
  <c r="O318" i="18" s="1"/>
  <c r="L351" i="18"/>
  <c r="I442" i="18"/>
  <c r="K442" i="18" s="1"/>
  <c r="K460" i="18"/>
  <c r="P468" i="18"/>
  <c r="M467" i="18"/>
  <c r="P467" i="18" s="1"/>
  <c r="P545" i="18"/>
  <c r="M544" i="18"/>
  <c r="P544" i="18" s="1"/>
  <c r="L685" i="18"/>
  <c r="O685" i="18" s="1"/>
  <c r="O806" i="18"/>
  <c r="L805" i="18"/>
  <c r="O805" i="18" s="1"/>
  <c r="K176" i="18"/>
  <c r="K190" i="18"/>
  <c r="M267" i="18"/>
  <c r="P267" i="18" s="1"/>
  <c r="M263" i="18"/>
  <c r="P269" i="18"/>
  <c r="N318" i="18"/>
  <c r="N317" i="18"/>
  <c r="N315" i="18" s="1"/>
  <c r="O329" i="18"/>
  <c r="O738" i="18"/>
  <c r="L737" i="18"/>
  <c r="O737" i="18" s="1"/>
  <c r="P419" i="18"/>
  <c r="O549" i="18"/>
  <c r="J593" i="18"/>
  <c r="O641" i="18"/>
  <c r="L631" i="18"/>
  <c r="O631" i="18" s="1"/>
  <c r="L639" i="18"/>
  <c r="O639" i="18" s="1"/>
  <c r="M737" i="18"/>
  <c r="P737" i="18" s="1"/>
  <c r="O528" i="18"/>
  <c r="L526" i="18"/>
  <c r="O526" i="18" s="1"/>
  <c r="J559" i="18"/>
  <c r="J543" i="18" s="1"/>
  <c r="K576" i="18"/>
  <c r="N655" i="18"/>
  <c r="O660" i="18"/>
  <c r="N657" i="18"/>
  <c r="O657" i="18" s="1"/>
  <c r="O755" i="18"/>
  <c r="L754" i="18"/>
  <c r="O754" i="18" s="1"/>
  <c r="N419" i="18"/>
  <c r="N414" i="18" s="1"/>
  <c r="N444" i="18"/>
  <c r="M754" i="18"/>
  <c r="P754" i="18" s="1"/>
  <c r="O791" i="18"/>
  <c r="L789" i="18"/>
  <c r="O789" i="18" s="1"/>
  <c r="I785" i="18"/>
  <c r="P524" i="18"/>
  <c r="O630" i="18"/>
  <c r="P686" i="18"/>
  <c r="P787" i="18"/>
  <c r="L469" i="18"/>
  <c r="K539" i="18"/>
  <c r="L533" i="12"/>
  <c r="O533" i="12" s="1"/>
  <c r="L555" i="12"/>
  <c r="O555" i="12" s="1"/>
  <c r="M408" i="17"/>
  <c r="P408" i="17" s="1"/>
  <c r="M183" i="15"/>
  <c r="M181" i="15" s="1"/>
  <c r="M68" i="16"/>
  <c r="P68" i="16" s="1"/>
  <c r="K355" i="16"/>
  <c r="K374" i="16"/>
  <c r="L44" i="17"/>
  <c r="N69" i="17"/>
  <c r="O137" i="17"/>
  <c r="L151" i="17"/>
  <c r="M171" i="17"/>
  <c r="P171" i="17" s="1"/>
  <c r="L184" i="17"/>
  <c r="O184" i="17" s="1"/>
  <c r="I208" i="17"/>
  <c r="K208" i="17" s="1"/>
  <c r="L217" i="17"/>
  <c r="O217" i="17" s="1"/>
  <c r="L230" i="17"/>
  <c r="O264" i="17"/>
  <c r="I297" i="17"/>
  <c r="K297" i="17" s="1"/>
  <c r="M331" i="17"/>
  <c r="P331" i="17" s="1"/>
  <c r="N348" i="17"/>
  <c r="P348" i="17" s="1"/>
  <c r="O353" i="17"/>
  <c r="K370" i="17"/>
  <c r="M392" i="17"/>
  <c r="P392" i="17" s="1"/>
  <c r="K465" i="17"/>
  <c r="O472" i="17"/>
  <c r="O535" i="17"/>
  <c r="L657" i="17"/>
  <c r="L655" i="17" s="1"/>
  <c r="O655" i="17" s="1"/>
  <c r="K827" i="17"/>
  <c r="M183" i="12"/>
  <c r="M181" i="12" s="1"/>
  <c r="N167" i="14"/>
  <c r="N165" i="14" s="1"/>
  <c r="L125" i="17"/>
  <c r="O125" i="17" s="1"/>
  <c r="O135" i="17"/>
  <c r="L231" i="17"/>
  <c r="P333" i="17"/>
  <c r="P394" i="17"/>
  <c r="L404" i="17"/>
  <c r="N55" i="15"/>
  <c r="N53" i="15" s="1"/>
  <c r="M69" i="16"/>
  <c r="P69" i="16" s="1"/>
  <c r="M317" i="16"/>
  <c r="P317" i="16" s="1"/>
  <c r="L546" i="16"/>
  <c r="L544" i="16" s="1"/>
  <c r="L36" i="17"/>
  <c r="N44" i="17"/>
  <c r="L121" i="17"/>
  <c r="M135" i="17"/>
  <c r="P135" i="17" s="1"/>
  <c r="M187" i="17"/>
  <c r="P187" i="17" s="1"/>
  <c r="L198" i="17"/>
  <c r="O198" i="17" s="1"/>
  <c r="L300" i="17"/>
  <c r="O306" i="17"/>
  <c r="M334" i="17"/>
  <c r="P334" i="17" s="1"/>
  <c r="M347" i="17"/>
  <c r="M351" i="17"/>
  <c r="P351" i="17" s="1"/>
  <c r="K359" i="17"/>
  <c r="K362" i="17"/>
  <c r="M395" i="17"/>
  <c r="P395" i="17" s="1"/>
  <c r="M404" i="17"/>
  <c r="P404" i="17" s="1"/>
  <c r="L429" i="17"/>
  <c r="O429" i="17" s="1"/>
  <c r="K593" i="17"/>
  <c r="J628" i="17"/>
  <c r="K628" i="17" s="1"/>
  <c r="K673" i="17"/>
  <c r="N43" i="16"/>
  <c r="N41" i="16" s="1"/>
  <c r="M56" i="16"/>
  <c r="M321" i="16"/>
  <c r="P321" i="16" s="1"/>
  <c r="K362" i="16"/>
  <c r="L23" i="17"/>
  <c r="L21" i="17" s="1"/>
  <c r="M26" i="17"/>
  <c r="O71" i="17"/>
  <c r="P137" i="17"/>
  <c r="O140" i="17"/>
  <c r="L152" i="17"/>
  <c r="O152" i="17" s="1"/>
  <c r="L279" i="17"/>
  <c r="M300" i="17"/>
  <c r="P300" i="17" s="1"/>
  <c r="O350" i="17"/>
  <c r="L421" i="17"/>
  <c r="O421" i="17" s="1"/>
  <c r="L525" i="17"/>
  <c r="O525" i="17" s="1"/>
  <c r="K821" i="17"/>
  <c r="L657" i="9"/>
  <c r="O657" i="9" s="1"/>
  <c r="L334" i="13"/>
  <c r="O334" i="13" s="1"/>
  <c r="K340" i="15"/>
  <c r="L134" i="16"/>
  <c r="O134" i="16" s="1"/>
  <c r="L267" i="16"/>
  <c r="O267" i="16" s="1"/>
  <c r="M47" i="17"/>
  <c r="P47" i="17" s="1"/>
  <c r="N26" i="17"/>
  <c r="N16" i="17" s="1"/>
  <c r="N14" i="17" s="1"/>
  <c r="M55" i="17"/>
  <c r="M53" i="17" s="1"/>
  <c r="L90" i="17"/>
  <c r="L88" i="17" s="1"/>
  <c r="M94" i="17"/>
  <c r="P94" i="17" s="1"/>
  <c r="L138" i="17"/>
  <c r="O138" i="17" s="1"/>
  <c r="L168" i="17"/>
  <c r="O168" i="17" s="1"/>
  <c r="N318" i="17"/>
  <c r="K338" i="17"/>
  <c r="K355" i="17"/>
  <c r="K360" i="17"/>
  <c r="K369" i="17"/>
  <c r="O549" i="17"/>
  <c r="K669" i="17"/>
  <c r="P323" i="17"/>
  <c r="M317" i="17"/>
  <c r="P317" i="17" s="1"/>
  <c r="M55" i="15"/>
  <c r="N121" i="15"/>
  <c r="N119" i="15" s="1"/>
  <c r="I148" i="15"/>
  <c r="K148" i="15" s="1"/>
  <c r="O170" i="15"/>
  <c r="P46" i="16"/>
  <c r="M167" i="16"/>
  <c r="M165" i="16" s="1"/>
  <c r="L279" i="16"/>
  <c r="L277" i="16" s="1"/>
  <c r="N300" i="16"/>
  <c r="N298" i="16" s="1"/>
  <c r="O331" i="16"/>
  <c r="K647" i="16"/>
  <c r="I785" i="16"/>
  <c r="L15" i="17"/>
  <c r="L9" i="17" s="1"/>
  <c r="M23" i="17"/>
  <c r="L29" i="17"/>
  <c r="M34" i="17"/>
  <c r="P34" i="17" s="1"/>
  <c r="P49" i="17"/>
  <c r="N55" i="17"/>
  <c r="O58" i="17"/>
  <c r="P61" i="17"/>
  <c r="L69" i="17"/>
  <c r="I76" i="17"/>
  <c r="I87" i="17"/>
  <c r="K87" i="17" s="1"/>
  <c r="P124" i="17"/>
  <c r="M122" i="17"/>
  <c r="P122" i="17" s="1"/>
  <c r="J143" i="17"/>
  <c r="J131" i="17" s="1"/>
  <c r="P154" i="17"/>
  <c r="M152" i="17"/>
  <c r="P152" i="17" s="1"/>
  <c r="M167" i="17"/>
  <c r="P167" i="17" s="1"/>
  <c r="M184" i="17"/>
  <c r="P184" i="17" s="1"/>
  <c r="I233" i="17"/>
  <c r="K233" i="17" s="1"/>
  <c r="L228" i="17"/>
  <c r="L249" i="17"/>
  <c r="O249" i="17" s="1"/>
  <c r="N263" i="17"/>
  <c r="K287" i="17"/>
  <c r="I276" i="17"/>
  <c r="K276" i="17" s="1"/>
  <c r="P299" i="17"/>
  <c r="M321" i="17"/>
  <c r="P321" i="17" s="1"/>
  <c r="L391" i="17"/>
  <c r="O391" i="17" s="1"/>
  <c r="L395" i="17"/>
  <c r="O395" i="17" s="1"/>
  <c r="L122" i="15"/>
  <c r="O122" i="15" s="1"/>
  <c r="P140" i="15"/>
  <c r="O320" i="15"/>
  <c r="K823" i="15"/>
  <c r="O44" i="16"/>
  <c r="P127" i="16"/>
  <c r="M171" i="16"/>
  <c r="P171" i="16" s="1"/>
  <c r="M300" i="16"/>
  <c r="M298" i="16" s="1"/>
  <c r="M331" i="16"/>
  <c r="P331" i="16" s="1"/>
  <c r="L334" i="16"/>
  <c r="O334" i="16" s="1"/>
  <c r="K823" i="16"/>
  <c r="M9" i="17"/>
  <c r="M15" i="17"/>
  <c r="N23" i="17"/>
  <c r="N21" i="17" s="1"/>
  <c r="M29" i="17"/>
  <c r="N34" i="17"/>
  <c r="L43" i="17"/>
  <c r="L41" i="17" s="1"/>
  <c r="P58" i="17"/>
  <c r="K79" i="17"/>
  <c r="I77" i="17"/>
  <c r="O93" i="17"/>
  <c r="L134" i="17"/>
  <c r="O166" i="17"/>
  <c r="P269" i="17"/>
  <c r="M267" i="17"/>
  <c r="P267" i="17" s="1"/>
  <c r="O333" i="17"/>
  <c r="L331" i="17"/>
  <c r="O331" i="17" s="1"/>
  <c r="L330" i="17"/>
  <c r="L26" i="17"/>
  <c r="L68" i="17"/>
  <c r="K204" i="17"/>
  <c r="I197" i="17"/>
  <c r="K197" i="17" s="1"/>
  <c r="P316" i="17"/>
  <c r="J433" i="17"/>
  <c r="K437" i="17"/>
  <c r="P738" i="17"/>
  <c r="M737" i="17"/>
  <c r="P737" i="17" s="1"/>
  <c r="L55" i="14"/>
  <c r="L53" i="14" s="1"/>
  <c r="K374" i="14"/>
  <c r="L171" i="15"/>
  <c r="O171" i="15" s="1"/>
  <c r="L279" i="15"/>
  <c r="L277" i="15" s="1"/>
  <c r="N56" i="16"/>
  <c r="L135" i="16"/>
  <c r="O135" i="16" s="1"/>
  <c r="I143" i="16"/>
  <c r="K143" i="16" s="1"/>
  <c r="L33" i="16"/>
  <c r="L31" i="16" s="1"/>
  <c r="O31" i="16" s="1"/>
  <c r="N43" i="17"/>
  <c r="N41" i="17" s="1"/>
  <c r="L72" i="17"/>
  <c r="O72" i="17" s="1"/>
  <c r="K98" i="17"/>
  <c r="N121" i="17"/>
  <c r="N119" i="17" s="1"/>
  <c r="N151" i="17"/>
  <c r="N149" i="17" s="1"/>
  <c r="M168" i="17"/>
  <c r="P168" i="17" s="1"/>
  <c r="M183" i="17"/>
  <c r="I190" i="17"/>
  <c r="K190" i="17" s="1"/>
  <c r="L238" i="17"/>
  <c r="P266" i="17"/>
  <c r="M264" i="17"/>
  <c r="P264" i="17" s="1"/>
  <c r="J374" i="17"/>
  <c r="K381" i="17"/>
  <c r="P403" i="17"/>
  <c r="O449" i="17"/>
  <c r="L446" i="17"/>
  <c r="O686" i="17"/>
  <c r="L685" i="17"/>
  <c r="P333" i="14"/>
  <c r="I443" i="15"/>
  <c r="K443" i="15" s="1"/>
  <c r="P91" i="16"/>
  <c r="J143" i="16"/>
  <c r="J131" i="16" s="1"/>
  <c r="K360" i="16"/>
  <c r="K381" i="16"/>
  <c r="M391" i="16"/>
  <c r="M389" i="16" s="1"/>
  <c r="P389" i="16" s="1"/>
  <c r="P127" i="17"/>
  <c r="M125" i="17"/>
  <c r="P125" i="17" s="1"/>
  <c r="K146" i="17"/>
  <c r="I130" i="17"/>
  <c r="K130" i="17" s="1"/>
  <c r="P157" i="17"/>
  <c r="M155" i="17"/>
  <c r="P155" i="17" s="1"/>
  <c r="O182" i="17"/>
  <c r="L209" i="17"/>
  <c r="O209" i="17" s="1"/>
  <c r="I216" i="17"/>
  <c r="K216" i="17" s="1"/>
  <c r="L321" i="17"/>
  <c r="O321" i="17" s="1"/>
  <c r="O323" i="17"/>
  <c r="L317" i="17"/>
  <c r="O479" i="17"/>
  <c r="L469" i="17"/>
  <c r="O469" i="17" s="1"/>
  <c r="I237" i="17"/>
  <c r="L318" i="17"/>
  <c r="O318" i="17" s="1"/>
  <c r="O320" i="17"/>
  <c r="L348" i="17"/>
  <c r="K372" i="17"/>
  <c r="L392" i="17"/>
  <c r="O392" i="17" s="1"/>
  <c r="L422" i="17"/>
  <c r="O422" i="17" s="1"/>
  <c r="I434" i="17"/>
  <c r="O524" i="17"/>
  <c r="L526" i="17"/>
  <c r="O526" i="17" s="1"/>
  <c r="J537" i="17"/>
  <c r="J522" i="17" s="1"/>
  <c r="N544" i="17"/>
  <c r="J559" i="17"/>
  <c r="J543" i="17" s="1"/>
  <c r="O687" i="17"/>
  <c r="P771" i="17"/>
  <c r="M770" i="17"/>
  <c r="P770" i="17" s="1"/>
  <c r="O787" i="17"/>
  <c r="N805" i="17"/>
  <c r="N300" i="17"/>
  <c r="N298" i="17" s="1"/>
  <c r="L334" i="17"/>
  <c r="O334" i="17" s="1"/>
  <c r="N404" i="17"/>
  <c r="N402" i="17" s="1"/>
  <c r="I443" i="17"/>
  <c r="K443" i="17" s="1"/>
  <c r="K538" i="17"/>
  <c r="K577" i="17"/>
  <c r="P687" i="17"/>
  <c r="M685" i="17"/>
  <c r="P685" i="17" s="1"/>
  <c r="L632" i="17"/>
  <c r="O632" i="17" s="1"/>
  <c r="O634" i="17"/>
  <c r="P807" i="17"/>
  <c r="M805" i="17"/>
  <c r="P805" i="17" s="1"/>
  <c r="P755" i="17"/>
  <c r="M754" i="17"/>
  <c r="P754" i="17" s="1"/>
  <c r="I785" i="17"/>
  <c r="K785" i="17" s="1"/>
  <c r="K800" i="17"/>
  <c r="O806" i="17"/>
  <c r="L805" i="17"/>
  <c r="O805" i="17" s="1"/>
  <c r="L454" i="17"/>
  <c r="O454" i="17" s="1"/>
  <c r="P525" i="17"/>
  <c r="M523" i="17"/>
  <c r="I543" i="17"/>
  <c r="K543" i="17" s="1"/>
  <c r="K559" i="17"/>
  <c r="P788" i="17"/>
  <c r="M786" i="17"/>
  <c r="P786" i="17" s="1"/>
  <c r="L555" i="17"/>
  <c r="O555" i="17" s="1"/>
  <c r="P656" i="17"/>
  <c r="N687" i="17"/>
  <c r="N685" i="17" s="1"/>
  <c r="J654" i="17"/>
  <c r="N469" i="17"/>
  <c r="N467" i="17" s="1"/>
  <c r="N414" i="17" s="1"/>
  <c r="L546" i="17"/>
  <c r="J722" i="17"/>
  <c r="K722" i="17" s="1"/>
  <c r="I197" i="15"/>
  <c r="K197" i="15" s="1"/>
  <c r="L300" i="15"/>
  <c r="L298" i="15" s="1"/>
  <c r="L304" i="15"/>
  <c r="O304" i="15" s="1"/>
  <c r="O170" i="16"/>
  <c r="I276" i="16"/>
  <c r="K276" i="16" s="1"/>
  <c r="P285" i="16"/>
  <c r="L318" i="16"/>
  <c r="O318" i="16" s="1"/>
  <c r="O333" i="16"/>
  <c r="P394" i="16"/>
  <c r="L546" i="13"/>
  <c r="L544" i="13" s="1"/>
  <c r="M68" i="15"/>
  <c r="M66" i="15" s="1"/>
  <c r="N90" i="15"/>
  <c r="N88" i="15" s="1"/>
  <c r="O61" i="16"/>
  <c r="I148" i="16"/>
  <c r="K148" i="16" s="1"/>
  <c r="P170" i="16"/>
  <c r="L198" i="16"/>
  <c r="O198" i="16" s="1"/>
  <c r="I233" i="16"/>
  <c r="K233" i="16" s="1"/>
  <c r="O449" i="16"/>
  <c r="K824" i="16"/>
  <c r="M55" i="13"/>
  <c r="M53" i="13" s="1"/>
  <c r="N68" i="15"/>
  <c r="N66" i="15" s="1"/>
  <c r="N330" i="15"/>
  <c r="N328" i="15" s="1"/>
  <c r="O59" i="16"/>
  <c r="M183" i="16"/>
  <c r="J288" i="16"/>
  <c r="J275" i="16" s="1"/>
  <c r="N301" i="16"/>
  <c r="O301" i="16" s="1"/>
  <c r="K325" i="16"/>
  <c r="L657" i="16"/>
  <c r="L655" i="16" s="1"/>
  <c r="O655" i="16" s="1"/>
  <c r="J721" i="16"/>
  <c r="L639" i="13"/>
  <c r="O639" i="13" s="1"/>
  <c r="N151" i="14"/>
  <c r="N149" i="14" s="1"/>
  <c r="M279" i="14"/>
  <c r="O74" i="15"/>
  <c r="L317" i="15"/>
  <c r="O317" i="15" s="1"/>
  <c r="M391" i="15"/>
  <c r="P391" i="15" s="1"/>
  <c r="L408" i="15"/>
  <c r="O408" i="15" s="1"/>
  <c r="L90" i="16"/>
  <c r="L88" i="16" s="1"/>
  <c r="O91" i="16"/>
  <c r="L121" i="16"/>
  <c r="O121" i="16" s="1"/>
  <c r="K309" i="16"/>
  <c r="M334" i="16"/>
  <c r="P334" i="16" s="1"/>
  <c r="K378" i="16"/>
  <c r="L392" i="16"/>
  <c r="O392" i="16" s="1"/>
  <c r="N404" i="16"/>
  <c r="N402" i="16" s="1"/>
  <c r="K568" i="16"/>
  <c r="K720" i="16"/>
  <c r="K372" i="13"/>
  <c r="L134" i="14"/>
  <c r="O134" i="14" s="1"/>
  <c r="L391" i="14"/>
  <c r="O391" i="14" s="1"/>
  <c r="K360" i="15"/>
  <c r="M408" i="15"/>
  <c r="P408" i="15" s="1"/>
  <c r="O46" i="16"/>
  <c r="N55" i="16"/>
  <c r="N53" i="16" s="1"/>
  <c r="L94" i="16"/>
  <c r="O94" i="16" s="1"/>
  <c r="L125" i="16"/>
  <c r="O125" i="16" s="1"/>
  <c r="M184" i="16"/>
  <c r="I275" i="16"/>
  <c r="L283" i="16"/>
  <c r="O283" i="16" s="1"/>
  <c r="L330" i="16"/>
  <c r="L328" i="16" s="1"/>
  <c r="L391" i="16"/>
  <c r="L389" i="16" s="1"/>
  <c r="O389" i="16" s="1"/>
  <c r="N408" i="16"/>
  <c r="P61" i="16"/>
  <c r="M59" i="16"/>
  <c r="P59" i="16" s="1"/>
  <c r="M55" i="16"/>
  <c r="O154" i="16"/>
  <c r="L151" i="16"/>
  <c r="O151" i="16" s="1"/>
  <c r="N167" i="16"/>
  <c r="N171" i="16"/>
  <c r="I248" i="16"/>
  <c r="K248" i="16" s="1"/>
  <c r="K255" i="16"/>
  <c r="L408" i="16"/>
  <c r="O408" i="16" s="1"/>
  <c r="L404" i="16"/>
  <c r="K462" i="16"/>
  <c r="I443" i="16"/>
  <c r="K443" i="16" s="1"/>
  <c r="M47" i="16"/>
  <c r="P47" i="16" s="1"/>
  <c r="M90" i="16"/>
  <c r="M88" i="16" s="1"/>
  <c r="N134" i="16"/>
  <c r="N132" i="16" s="1"/>
  <c r="N135" i="16"/>
  <c r="L395" i="16"/>
  <c r="O395" i="16" s="1"/>
  <c r="M151" i="13"/>
  <c r="M149" i="13" s="1"/>
  <c r="L91" i="15"/>
  <c r="O91" i="15" s="1"/>
  <c r="L90" i="15"/>
  <c r="L88" i="15" s="1"/>
  <c r="L231" i="15"/>
  <c r="L470" i="15"/>
  <c r="O470" i="15" s="1"/>
  <c r="L525" i="15"/>
  <c r="O525" i="15" s="1"/>
  <c r="N23" i="16"/>
  <c r="N21" i="16" s="1"/>
  <c r="L122" i="16"/>
  <c r="O122" i="16" s="1"/>
  <c r="L152" i="16"/>
  <c r="O152" i="16" s="1"/>
  <c r="K176" i="16"/>
  <c r="I174" i="16"/>
  <c r="K174" i="16" s="1"/>
  <c r="N183" i="16"/>
  <c r="N181" i="16" s="1"/>
  <c r="N184" i="16"/>
  <c r="K215" i="16"/>
  <c r="I208" i="16"/>
  <c r="K208" i="16" s="1"/>
  <c r="L263" i="16"/>
  <c r="L261" i="16" s="1"/>
  <c r="M279" i="16"/>
  <c r="M277" i="16" s="1"/>
  <c r="P350" i="16"/>
  <c r="M348" i="16"/>
  <c r="L786" i="16"/>
  <c r="O786" i="16" s="1"/>
  <c r="O788" i="16"/>
  <c r="N317" i="11"/>
  <c r="N315" i="11" s="1"/>
  <c r="M56" i="13"/>
  <c r="M59" i="13"/>
  <c r="P59" i="13" s="1"/>
  <c r="L422" i="13"/>
  <c r="O422" i="13" s="1"/>
  <c r="O157" i="14"/>
  <c r="L155" i="14"/>
  <c r="O155" i="14" s="1"/>
  <c r="K215" i="14"/>
  <c r="I208" i="14"/>
  <c r="K208" i="14" s="1"/>
  <c r="L209" i="15"/>
  <c r="O209" i="15" s="1"/>
  <c r="P407" i="15"/>
  <c r="M404" i="15"/>
  <c r="P404" i="15" s="1"/>
  <c r="P74" i="16"/>
  <c r="M72" i="16"/>
  <c r="P72" i="16" s="1"/>
  <c r="N121" i="16"/>
  <c r="N119" i="16" s="1"/>
  <c r="N122" i="16"/>
  <c r="L280" i="16"/>
  <c r="O280" i="16" s="1"/>
  <c r="P320" i="16"/>
  <c r="N321" i="16"/>
  <c r="N317" i="16"/>
  <c r="N315" i="16" s="1"/>
  <c r="J327" i="16"/>
  <c r="K327" i="16" s="1"/>
  <c r="L347" i="16"/>
  <c r="L345" i="16" s="1"/>
  <c r="N351" i="16"/>
  <c r="O351" i="16" s="1"/>
  <c r="N347" i="16"/>
  <c r="O353" i="16"/>
  <c r="O397" i="16"/>
  <c r="O472" i="16"/>
  <c r="L470" i="16"/>
  <c r="O470" i="16" s="1"/>
  <c r="O154" i="14"/>
  <c r="L152" i="14"/>
  <c r="O152" i="14" s="1"/>
  <c r="I86" i="16"/>
  <c r="K86" i="16" s="1"/>
  <c r="M347" i="16"/>
  <c r="M345" i="16" s="1"/>
  <c r="P353" i="16"/>
  <c r="K435" i="16"/>
  <c r="I433" i="16"/>
  <c r="I417" i="16" s="1"/>
  <c r="O791" i="16"/>
  <c r="K801" i="16"/>
  <c r="K359" i="11"/>
  <c r="K362" i="11"/>
  <c r="N68" i="13"/>
  <c r="N66" i="13" s="1"/>
  <c r="M138" i="14"/>
  <c r="P138" i="14" s="1"/>
  <c r="M151" i="14"/>
  <c r="M149" i="14" s="1"/>
  <c r="L94" i="15"/>
  <c r="O94" i="15" s="1"/>
  <c r="L47" i="16"/>
  <c r="O47" i="16" s="1"/>
  <c r="O49" i="16"/>
  <c r="O71" i="16"/>
  <c r="P157" i="16"/>
  <c r="L229" i="16"/>
  <c r="L238" i="16"/>
  <c r="O238" i="16" s="1"/>
  <c r="K271" i="16"/>
  <c r="I260" i="16"/>
  <c r="K260" i="16" s="1"/>
  <c r="N392" i="16"/>
  <c r="N391" i="16"/>
  <c r="N389" i="16" s="1"/>
  <c r="L533" i="16"/>
  <c r="O533" i="16" s="1"/>
  <c r="L36" i="16"/>
  <c r="L555" i="16"/>
  <c r="O555" i="16" s="1"/>
  <c r="O557" i="16"/>
  <c r="K828" i="13"/>
  <c r="L347" i="14"/>
  <c r="L345" i="14" s="1"/>
  <c r="O154" i="15"/>
  <c r="L230" i="15"/>
  <c r="N263" i="15"/>
  <c r="O303" i="15"/>
  <c r="N317" i="15"/>
  <c r="N315" i="15" s="1"/>
  <c r="P350" i="15"/>
  <c r="O397" i="15"/>
  <c r="L33" i="15"/>
  <c r="O33" i="15" s="1"/>
  <c r="O528" i="15"/>
  <c r="K801" i="15"/>
  <c r="L138" i="16"/>
  <c r="O138" i="16" s="1"/>
  <c r="N151" i="16"/>
  <c r="N149" i="16" s="1"/>
  <c r="K338" i="16"/>
  <c r="K359" i="16"/>
  <c r="I364" i="16"/>
  <c r="K370" i="16"/>
  <c r="K385" i="16"/>
  <c r="L421" i="16"/>
  <c r="O634" i="16"/>
  <c r="J785" i="16"/>
  <c r="K827" i="16"/>
  <c r="N68" i="14"/>
  <c r="N66" i="14" s="1"/>
  <c r="L55" i="16"/>
  <c r="L53" i="16" s="1"/>
  <c r="P124" i="16"/>
  <c r="O186" i="16"/>
  <c r="L231" i="16"/>
  <c r="O266" i="16"/>
  <c r="P280" i="16"/>
  <c r="K340" i="16"/>
  <c r="K379" i="16"/>
  <c r="K821" i="16"/>
  <c r="L55" i="15"/>
  <c r="O184" i="15"/>
  <c r="K359" i="15"/>
  <c r="K362" i="15"/>
  <c r="K385" i="15"/>
  <c r="P168" i="16"/>
  <c r="P186" i="16"/>
  <c r="L209" i="16"/>
  <c r="O209" i="16" s="1"/>
  <c r="O264" i="16"/>
  <c r="J364" i="16"/>
  <c r="K365" i="16"/>
  <c r="L446" i="12"/>
  <c r="O446" i="12" s="1"/>
  <c r="L69" i="13"/>
  <c r="O69" i="13" s="1"/>
  <c r="L72" i="13"/>
  <c r="O72" i="13" s="1"/>
  <c r="O410" i="13"/>
  <c r="L56" i="14"/>
  <c r="I77" i="15"/>
  <c r="I65" i="15" s="1"/>
  <c r="K65" i="15" s="1"/>
  <c r="O127" i="15"/>
  <c r="O266" i="15"/>
  <c r="O323" i="15"/>
  <c r="M12" i="16"/>
  <c r="P15" i="16"/>
  <c r="M19" i="16"/>
  <c r="P22" i="16"/>
  <c r="N26" i="16"/>
  <c r="N16" i="16" s="1"/>
  <c r="N14" i="16" s="1"/>
  <c r="P29" i="16"/>
  <c r="P35" i="16"/>
  <c r="M134" i="16"/>
  <c r="P134" i="16" s="1"/>
  <c r="P154" i="16"/>
  <c r="L228" i="16"/>
  <c r="L249" i="16"/>
  <c r="O249" i="16" s="1"/>
  <c r="L304" i="16"/>
  <c r="O304" i="16" s="1"/>
  <c r="O306" i="16"/>
  <c r="P444" i="16"/>
  <c r="N655" i="16"/>
  <c r="L446" i="13"/>
  <c r="L444" i="13" s="1"/>
  <c r="L151" i="14"/>
  <c r="O151" i="14" s="1"/>
  <c r="L183" i="14"/>
  <c r="L181" i="14" s="1"/>
  <c r="L229" i="14"/>
  <c r="M43" i="15"/>
  <c r="M47" i="15"/>
  <c r="P47" i="15" s="1"/>
  <c r="O49" i="15"/>
  <c r="L59" i="15"/>
  <c r="O59" i="15" s="1"/>
  <c r="I130" i="15"/>
  <c r="K130" i="15" s="1"/>
  <c r="M134" i="15"/>
  <c r="M132" i="15" s="1"/>
  <c r="L151" i="15"/>
  <c r="L149" i="15" s="1"/>
  <c r="O157" i="15"/>
  <c r="I216" i="15"/>
  <c r="K216" i="15" s="1"/>
  <c r="N267" i="15"/>
  <c r="O269" i="15"/>
  <c r="L631" i="15"/>
  <c r="O631" i="15" s="1"/>
  <c r="L658" i="15"/>
  <c r="O658" i="15" s="1"/>
  <c r="J785" i="15"/>
  <c r="N12" i="16"/>
  <c r="L23" i="16"/>
  <c r="O74" i="16"/>
  <c r="N90" i="16"/>
  <c r="N88" i="16" s="1"/>
  <c r="O93" i="16"/>
  <c r="P96" i="16"/>
  <c r="K99" i="16"/>
  <c r="I112" i="16"/>
  <c r="K112" i="16" s="1"/>
  <c r="M138" i="16"/>
  <c r="P138" i="16" s="1"/>
  <c r="L187" i="16"/>
  <c r="O187" i="16" s="1"/>
  <c r="P269" i="16"/>
  <c r="M267" i="16"/>
  <c r="P267" i="16" s="1"/>
  <c r="N279" i="16"/>
  <c r="O282" i="16"/>
  <c r="P303" i="16"/>
  <c r="I543" i="16"/>
  <c r="K543" i="16" s="1"/>
  <c r="K559" i="16"/>
  <c r="J628" i="16"/>
  <c r="K628" i="16" s="1"/>
  <c r="K651" i="16"/>
  <c r="K675" i="16"/>
  <c r="I654" i="16"/>
  <c r="K654" i="16" s="1"/>
  <c r="K674" i="16"/>
  <c r="K673" i="16"/>
  <c r="K669" i="16"/>
  <c r="K672" i="16"/>
  <c r="K359" i="14"/>
  <c r="K362" i="14"/>
  <c r="K385" i="14"/>
  <c r="M59" i="15"/>
  <c r="P59" i="15" s="1"/>
  <c r="O93" i="15"/>
  <c r="M138" i="15"/>
  <c r="P138" i="15" s="1"/>
  <c r="N151" i="15"/>
  <c r="N149" i="15" s="1"/>
  <c r="M300" i="15"/>
  <c r="K378" i="15"/>
  <c r="L36" i="15"/>
  <c r="O36" i="15" s="1"/>
  <c r="K537" i="15"/>
  <c r="K647" i="15"/>
  <c r="K701" i="15"/>
  <c r="L15" i="16"/>
  <c r="M23" i="16"/>
  <c r="M21" i="16" s="1"/>
  <c r="L29" i="16"/>
  <c r="M30" i="16"/>
  <c r="P30" i="16" s="1"/>
  <c r="M44" i="16"/>
  <c r="P44" i="16" s="1"/>
  <c r="L68" i="16"/>
  <c r="O68" i="16" s="1"/>
  <c r="P93" i="16"/>
  <c r="M121" i="16"/>
  <c r="P121" i="16" s="1"/>
  <c r="N155" i="16"/>
  <c r="L168" i="16"/>
  <c r="O168" i="16" s="1"/>
  <c r="L183" i="16"/>
  <c r="M187" i="16"/>
  <c r="P187" i="16" s="1"/>
  <c r="K204" i="16"/>
  <c r="I197" i="16"/>
  <c r="K197" i="16" s="1"/>
  <c r="P282" i="16"/>
  <c r="M304" i="16"/>
  <c r="P304" i="16" s="1"/>
  <c r="N330" i="16"/>
  <c r="O660" i="16"/>
  <c r="N658" i="16"/>
  <c r="O658" i="16" s="1"/>
  <c r="N657" i="16"/>
  <c r="L183" i="15"/>
  <c r="L181" i="15" s="1"/>
  <c r="P266" i="16"/>
  <c r="M264" i="16"/>
  <c r="P264" i="16" s="1"/>
  <c r="L167" i="12"/>
  <c r="L165" i="12" s="1"/>
  <c r="L454" i="13"/>
  <c r="O454" i="13" s="1"/>
  <c r="L789" i="13"/>
  <c r="O789" i="13" s="1"/>
  <c r="M55" i="14"/>
  <c r="M53" i="14" s="1"/>
  <c r="M121" i="14"/>
  <c r="P121" i="14" s="1"/>
  <c r="N183" i="14"/>
  <c r="P301" i="14"/>
  <c r="M347" i="14"/>
  <c r="M345" i="14" s="1"/>
  <c r="L454" i="14"/>
  <c r="O454" i="14" s="1"/>
  <c r="K647" i="14"/>
  <c r="N152" i="15"/>
  <c r="P152" i="15" s="1"/>
  <c r="L198" i="15"/>
  <c r="O198" i="15" s="1"/>
  <c r="I208" i="15"/>
  <c r="K208" i="15" s="1"/>
  <c r="N301" i="15"/>
  <c r="O301" i="15" s="1"/>
  <c r="N300" i="15"/>
  <c r="P333" i="15"/>
  <c r="K381" i="15"/>
  <c r="L26" i="16"/>
  <c r="L43" i="16"/>
  <c r="N68" i="16"/>
  <c r="N66" i="16" s="1"/>
  <c r="I77" i="16"/>
  <c r="I76" i="16"/>
  <c r="K80" i="16"/>
  <c r="M135" i="16"/>
  <c r="P135" i="16" s="1"/>
  <c r="K146" i="16"/>
  <c r="M151" i="16"/>
  <c r="L171" i="16"/>
  <c r="O171" i="16" s="1"/>
  <c r="O182" i="16"/>
  <c r="N348" i="16"/>
  <c r="O350" i="16"/>
  <c r="I442" i="16"/>
  <c r="K442" i="16" s="1"/>
  <c r="K460" i="16"/>
  <c r="O656" i="16"/>
  <c r="L533" i="6"/>
  <c r="O533" i="6" s="1"/>
  <c r="M125" i="12"/>
  <c r="P125" i="12" s="1"/>
  <c r="L68" i="13"/>
  <c r="O68" i="13" s="1"/>
  <c r="K370" i="14"/>
  <c r="M408" i="14"/>
  <c r="P408" i="14" s="1"/>
  <c r="P58" i="15"/>
  <c r="I86" i="15"/>
  <c r="K86" i="15" s="1"/>
  <c r="P124" i="15"/>
  <c r="M263" i="15"/>
  <c r="M261" i="15" s="1"/>
  <c r="J537" i="15"/>
  <c r="J522" i="15" s="1"/>
  <c r="L657" i="15"/>
  <c r="O657" i="15" s="1"/>
  <c r="K821" i="15"/>
  <c r="K824" i="15"/>
  <c r="K827" i="15"/>
  <c r="M26" i="16"/>
  <c r="M24" i="16" s="1"/>
  <c r="M43" i="16"/>
  <c r="L167" i="16"/>
  <c r="M181" i="16"/>
  <c r="L184" i="16"/>
  <c r="M263" i="16"/>
  <c r="J592" i="16"/>
  <c r="K592" i="16" s="1"/>
  <c r="K593" i="16"/>
  <c r="N687" i="16"/>
  <c r="N685" i="16" s="1"/>
  <c r="N688" i="16"/>
  <c r="O688" i="16" s="1"/>
  <c r="I237" i="16"/>
  <c r="O303" i="16"/>
  <c r="L317" i="16"/>
  <c r="M408" i="16"/>
  <c r="P408" i="16" s="1"/>
  <c r="P410" i="16"/>
  <c r="J433" i="16"/>
  <c r="N467" i="16"/>
  <c r="O545" i="16"/>
  <c r="K576" i="16"/>
  <c r="L300" i="16"/>
  <c r="L321" i="16"/>
  <c r="O321" i="16" s="1"/>
  <c r="K372" i="16"/>
  <c r="P403" i="16"/>
  <c r="L547" i="16"/>
  <c r="O547" i="16" s="1"/>
  <c r="O549" i="16"/>
  <c r="K577" i="16"/>
  <c r="K594" i="16"/>
  <c r="O690" i="16"/>
  <c r="L687" i="16"/>
  <c r="K440" i="16"/>
  <c r="I434" i="16"/>
  <c r="K465" i="16"/>
  <c r="J537" i="16"/>
  <c r="J522" i="16" s="1"/>
  <c r="K538" i="16"/>
  <c r="K649" i="16"/>
  <c r="P656" i="16"/>
  <c r="M655" i="16"/>
  <c r="P655" i="16" s="1"/>
  <c r="K708" i="16"/>
  <c r="O806" i="16"/>
  <c r="L805" i="16"/>
  <c r="O805" i="16" s="1"/>
  <c r="P333" i="16"/>
  <c r="M405" i="16"/>
  <c r="P405" i="16" s="1"/>
  <c r="P407" i="16"/>
  <c r="O535" i="16"/>
  <c r="L525" i="16"/>
  <c r="O525" i="16" s="1"/>
  <c r="N544" i="16"/>
  <c r="O407" i="16"/>
  <c r="O410" i="16"/>
  <c r="M545" i="16"/>
  <c r="N740" i="16"/>
  <c r="N757" i="16"/>
  <c r="N773" i="16"/>
  <c r="M805" i="16"/>
  <c r="P805" i="16" s="1"/>
  <c r="L446" i="16"/>
  <c r="L631" i="16"/>
  <c r="L737" i="16"/>
  <c r="O737" i="16" s="1"/>
  <c r="L754" i="16"/>
  <c r="O754" i="16" s="1"/>
  <c r="L770" i="16"/>
  <c r="O770" i="16" s="1"/>
  <c r="J364" i="15"/>
  <c r="N279" i="14"/>
  <c r="N277" i="14" s="1"/>
  <c r="K355" i="15"/>
  <c r="N151" i="12"/>
  <c r="N149" i="12" s="1"/>
  <c r="L263" i="12"/>
  <c r="L261" i="12" s="1"/>
  <c r="L121" i="13"/>
  <c r="L119" i="13" s="1"/>
  <c r="O119" i="13" s="1"/>
  <c r="N391" i="13"/>
  <c r="N389" i="13" s="1"/>
  <c r="O449" i="13"/>
  <c r="L187" i="14"/>
  <c r="O187" i="14" s="1"/>
  <c r="N283" i="14"/>
  <c r="J722" i="14"/>
  <c r="K823" i="14"/>
  <c r="K826" i="14"/>
  <c r="N56" i="15"/>
  <c r="P56" i="15" s="1"/>
  <c r="M69" i="15"/>
  <c r="P69" i="15" s="1"/>
  <c r="P157" i="15"/>
  <c r="L167" i="15"/>
  <c r="L165" i="15" s="1"/>
  <c r="O189" i="15"/>
  <c r="L229" i="15"/>
  <c r="L263" i="15"/>
  <c r="M279" i="15"/>
  <c r="M277" i="15" s="1"/>
  <c r="K288" i="15"/>
  <c r="I297" i="15"/>
  <c r="K297" i="15" s="1"/>
  <c r="J327" i="15"/>
  <c r="K327" i="15" s="1"/>
  <c r="K379" i="15"/>
  <c r="M392" i="15"/>
  <c r="P392" i="15" s="1"/>
  <c r="N404" i="15"/>
  <c r="N402" i="15" s="1"/>
  <c r="L477" i="15"/>
  <c r="O477" i="15" s="1"/>
  <c r="I559" i="15"/>
  <c r="I543" i="15" s="1"/>
  <c r="K543" i="15" s="1"/>
  <c r="L788" i="15"/>
  <c r="M94" i="11"/>
  <c r="P94" i="11" s="1"/>
  <c r="I314" i="12"/>
  <c r="K314" i="12" s="1"/>
  <c r="I76" i="13"/>
  <c r="I64" i="13" s="1"/>
  <c r="K64" i="13" s="1"/>
  <c r="K145" i="13"/>
  <c r="M152" i="13"/>
  <c r="P152" i="13" s="1"/>
  <c r="M155" i="13"/>
  <c r="P155" i="13" s="1"/>
  <c r="N167" i="13"/>
  <c r="N165" i="13" s="1"/>
  <c r="K594" i="13"/>
  <c r="L228" i="14"/>
  <c r="P71" i="15"/>
  <c r="I190" i="15"/>
  <c r="K190" i="15" s="1"/>
  <c r="O280" i="15"/>
  <c r="L404" i="15"/>
  <c r="O404" i="15" s="1"/>
  <c r="J721" i="15"/>
  <c r="L631" i="11"/>
  <c r="L629" i="11" s="1"/>
  <c r="O629" i="11" s="1"/>
  <c r="L348" i="13"/>
  <c r="O348" i="13" s="1"/>
  <c r="P127" i="15"/>
  <c r="P154" i="15"/>
  <c r="L168" i="15"/>
  <c r="O168" i="15" s="1"/>
  <c r="P280" i="15"/>
  <c r="L283" i="15"/>
  <c r="O283" i="15" s="1"/>
  <c r="M331" i="15"/>
  <c r="L405" i="15"/>
  <c r="O405" i="15" s="1"/>
  <c r="O641" i="15"/>
  <c r="K828" i="12"/>
  <c r="N121" i="13"/>
  <c r="N119" i="13" s="1"/>
  <c r="I364" i="13"/>
  <c r="N404" i="13"/>
  <c r="N402" i="13" s="1"/>
  <c r="K647" i="13"/>
  <c r="I112" i="14"/>
  <c r="K112" i="14" s="1"/>
  <c r="M391" i="14"/>
  <c r="M389" i="14" s="1"/>
  <c r="P389" i="14" s="1"/>
  <c r="J721" i="14"/>
  <c r="O58" i="15"/>
  <c r="L121" i="15"/>
  <c r="O121" i="15" s="1"/>
  <c r="L217" i="15"/>
  <c r="O217" i="15" s="1"/>
  <c r="M283" i="15"/>
  <c r="P283" i="15" s="1"/>
  <c r="N304" i="15"/>
  <c r="N331" i="15"/>
  <c r="L334" i="15"/>
  <c r="O334" i="15" s="1"/>
  <c r="M348" i="15"/>
  <c r="M405" i="15"/>
  <c r="P405" i="15" s="1"/>
  <c r="I442" i="15"/>
  <c r="K442" i="15" s="1"/>
  <c r="K539" i="15"/>
  <c r="K577" i="15"/>
  <c r="K628" i="15"/>
  <c r="I785" i="15"/>
  <c r="I112" i="13"/>
  <c r="K112" i="13" s="1"/>
  <c r="L318" i="13"/>
  <c r="O318" i="13" s="1"/>
  <c r="N408" i="13"/>
  <c r="I233" i="14"/>
  <c r="K233" i="14" s="1"/>
  <c r="I443" i="14"/>
  <c r="K443" i="14" s="1"/>
  <c r="I522" i="14"/>
  <c r="K522" i="14" s="1"/>
  <c r="L526" i="14"/>
  <c r="O526" i="14" s="1"/>
  <c r="L657" i="14"/>
  <c r="O657" i="14" s="1"/>
  <c r="L26" i="15"/>
  <c r="L56" i="15"/>
  <c r="O61" i="15"/>
  <c r="O69" i="15"/>
  <c r="M121" i="15"/>
  <c r="N134" i="15"/>
  <c r="N132" i="15" s="1"/>
  <c r="O186" i="15"/>
  <c r="I260" i="15"/>
  <c r="K260" i="15" s="1"/>
  <c r="I276" i="15"/>
  <c r="K276" i="15" s="1"/>
  <c r="N348" i="15"/>
  <c r="O353" i="15"/>
  <c r="K370" i="15"/>
  <c r="L546" i="15"/>
  <c r="O546" i="15" s="1"/>
  <c r="K649" i="15"/>
  <c r="O791" i="15"/>
  <c r="K176" i="13"/>
  <c r="I174" i="13"/>
  <c r="L421" i="14"/>
  <c r="O421" i="14" s="1"/>
  <c r="L36" i="14"/>
  <c r="O36" i="14" s="1"/>
  <c r="O431" i="14"/>
  <c r="L429" i="14"/>
  <c r="O429" i="14" s="1"/>
  <c r="M15" i="15"/>
  <c r="P25" i="15"/>
  <c r="M90" i="13"/>
  <c r="M88" i="13" s="1"/>
  <c r="L231" i="13"/>
  <c r="P74" i="14"/>
  <c r="M72" i="14"/>
  <c r="P72" i="14" s="1"/>
  <c r="N122" i="14"/>
  <c r="N121" i="14"/>
  <c r="N119" i="14" s="1"/>
  <c r="N19" i="15"/>
  <c r="N12" i="15"/>
  <c r="O32" i="15"/>
  <c r="L29" i="15"/>
  <c r="L12" i="15"/>
  <c r="P67" i="15"/>
  <c r="P133" i="15"/>
  <c r="N279" i="15"/>
  <c r="N300" i="13"/>
  <c r="N298" i="13" s="1"/>
  <c r="K271" i="14"/>
  <c r="I260" i="14"/>
  <c r="K260" i="14" s="1"/>
  <c r="L300" i="12"/>
  <c r="L298" i="12" s="1"/>
  <c r="J785" i="12"/>
  <c r="I148" i="13"/>
  <c r="K148" i="13" s="1"/>
  <c r="M68" i="14"/>
  <c r="P264" i="14"/>
  <c r="O285" i="14"/>
  <c r="M317" i="14"/>
  <c r="P317" i="14" s="1"/>
  <c r="P323" i="14"/>
  <c r="M321" i="14"/>
  <c r="P321" i="14" s="1"/>
  <c r="P407" i="14"/>
  <c r="M405" i="14"/>
  <c r="P405" i="14" s="1"/>
  <c r="M404" i="14"/>
  <c r="P404" i="14" s="1"/>
  <c r="N55" i="11"/>
  <c r="N53" i="11" s="1"/>
  <c r="N300" i="11"/>
  <c r="N298" i="11" s="1"/>
  <c r="K824" i="11"/>
  <c r="N263" i="12"/>
  <c r="N23" i="14"/>
  <c r="N21" i="14" s="1"/>
  <c r="P137" i="14"/>
  <c r="M135" i="14"/>
  <c r="P135" i="14" s="1"/>
  <c r="M134" i="14"/>
  <c r="P134" i="14" s="1"/>
  <c r="K224" i="14"/>
  <c r="I216" i="14"/>
  <c r="K216" i="14" s="1"/>
  <c r="P29" i="15"/>
  <c r="M28" i="15"/>
  <c r="P28" i="15" s="1"/>
  <c r="P93" i="15"/>
  <c r="M91" i="15"/>
  <c r="P91" i="15" s="1"/>
  <c r="M90" i="15"/>
  <c r="O137" i="15"/>
  <c r="L135" i="15"/>
  <c r="O135" i="15" s="1"/>
  <c r="L134" i="15"/>
  <c r="N26" i="15"/>
  <c r="N24" i="15" s="1"/>
  <c r="N183" i="15"/>
  <c r="N181" i="15" s="1"/>
  <c r="M125" i="13"/>
  <c r="P125" i="13" s="1"/>
  <c r="O54" i="15"/>
  <c r="M263" i="12"/>
  <c r="M261" i="12" s="1"/>
  <c r="L43" i="13"/>
  <c r="L41" i="13" s="1"/>
  <c r="P49" i="14"/>
  <c r="M47" i="14"/>
  <c r="P47" i="14" s="1"/>
  <c r="O93" i="14"/>
  <c r="N91" i="14"/>
  <c r="P91" i="14" s="1"/>
  <c r="L404" i="14"/>
  <c r="O404" i="14" s="1"/>
  <c r="N44" i="15"/>
  <c r="O44" i="15" s="1"/>
  <c r="N23" i="15"/>
  <c r="N21" i="15" s="1"/>
  <c r="P46" i="15"/>
  <c r="N43" i="15"/>
  <c r="N41" i="15" s="1"/>
  <c r="M304" i="15"/>
  <c r="P304" i="15" s="1"/>
  <c r="P306" i="15"/>
  <c r="P320" i="15"/>
  <c r="M318" i="15"/>
  <c r="P318" i="15" s="1"/>
  <c r="O333" i="15"/>
  <c r="L330" i="15"/>
  <c r="L331" i="15"/>
  <c r="P353" i="15"/>
  <c r="M351" i="15"/>
  <c r="P351" i="15" s="1"/>
  <c r="N391" i="15"/>
  <c r="N389" i="15" s="1"/>
  <c r="N392" i="15"/>
  <c r="P807" i="15"/>
  <c r="M805" i="15"/>
  <c r="P805" i="15" s="1"/>
  <c r="L183" i="13"/>
  <c r="L181" i="13" s="1"/>
  <c r="P353" i="13"/>
  <c r="K359" i="13"/>
  <c r="K708" i="13"/>
  <c r="J785" i="13"/>
  <c r="O61" i="14"/>
  <c r="L90" i="14"/>
  <c r="L88" i="14" s="1"/>
  <c r="L125" i="14"/>
  <c r="O125" i="14" s="1"/>
  <c r="N134" i="14"/>
  <c r="N132" i="14" s="1"/>
  <c r="I148" i="14"/>
  <c r="K148" i="14" s="1"/>
  <c r="L184" i="14"/>
  <c r="O184" i="14" s="1"/>
  <c r="O186" i="14"/>
  <c r="M318" i="14"/>
  <c r="P318" i="14" s="1"/>
  <c r="P350" i="14"/>
  <c r="K355" i="14"/>
  <c r="K369" i="14"/>
  <c r="O472" i="14"/>
  <c r="K649" i="14"/>
  <c r="O46" i="15"/>
  <c r="M72" i="15"/>
  <c r="P72" i="15" s="1"/>
  <c r="I112" i="15"/>
  <c r="K112" i="15" s="1"/>
  <c r="P135" i="15"/>
  <c r="J143" i="15"/>
  <c r="J131" i="15" s="1"/>
  <c r="M151" i="15"/>
  <c r="N167" i="15"/>
  <c r="J226" i="15"/>
  <c r="J180" i="15" s="1"/>
  <c r="P278" i="15"/>
  <c r="O282" i="15"/>
  <c r="O299" i="15"/>
  <c r="I314" i="15"/>
  <c r="K314" i="15" s="1"/>
  <c r="O351" i="15"/>
  <c r="K365" i="15"/>
  <c r="I364" i="15"/>
  <c r="P397" i="15"/>
  <c r="M395" i="15"/>
  <c r="P395" i="15" s="1"/>
  <c r="P445" i="15"/>
  <c r="M23" i="14"/>
  <c r="M21" i="14" s="1"/>
  <c r="L230" i="14"/>
  <c r="N347" i="14"/>
  <c r="N345" i="14" s="1"/>
  <c r="N31" i="15"/>
  <c r="P173" i="15"/>
  <c r="M171" i="15"/>
  <c r="P171" i="15" s="1"/>
  <c r="K255" i="15"/>
  <c r="I248" i="15"/>
  <c r="K248" i="15" s="1"/>
  <c r="M267" i="15"/>
  <c r="P267" i="15" s="1"/>
  <c r="P269" i="15"/>
  <c r="P323" i="15"/>
  <c r="M321" i="15"/>
  <c r="P321" i="15" s="1"/>
  <c r="P336" i="15"/>
  <c r="M334" i="15"/>
  <c r="P334" i="15" s="1"/>
  <c r="J433" i="15"/>
  <c r="J417" i="15" s="1"/>
  <c r="K435" i="15"/>
  <c r="I433" i="15"/>
  <c r="O449" i="15"/>
  <c r="L446" i="15"/>
  <c r="O446" i="15" s="1"/>
  <c r="L447" i="15"/>
  <c r="O447" i="15" s="1"/>
  <c r="N657" i="15"/>
  <c r="N655" i="15" s="1"/>
  <c r="N658" i="15"/>
  <c r="K338" i="14"/>
  <c r="N391" i="14"/>
  <c r="N389" i="14" s="1"/>
  <c r="L23" i="15"/>
  <c r="M34" i="15"/>
  <c r="P34" i="15" s="1"/>
  <c r="L68" i="15"/>
  <c r="P137" i="15"/>
  <c r="O140" i="15"/>
  <c r="L138" i="15"/>
  <c r="O138" i="15" s="1"/>
  <c r="P186" i="15"/>
  <c r="M184" i="15"/>
  <c r="P184" i="15" s="1"/>
  <c r="O262" i="15"/>
  <c r="M301" i="15"/>
  <c r="P303" i="15"/>
  <c r="O403" i="15"/>
  <c r="O424" i="15"/>
  <c r="L421" i="15"/>
  <c r="O421" i="15" s="1"/>
  <c r="L422" i="15"/>
  <c r="O422" i="15" s="1"/>
  <c r="K338" i="13"/>
  <c r="M395" i="13"/>
  <c r="P395" i="13" s="1"/>
  <c r="L43" i="14"/>
  <c r="L41" i="14" s="1"/>
  <c r="P71" i="14"/>
  <c r="O170" i="14"/>
  <c r="L217" i="14"/>
  <c r="O217" i="14" s="1"/>
  <c r="L263" i="14"/>
  <c r="L261" i="14" s="1"/>
  <c r="M300" i="14"/>
  <c r="M298" i="14" s="1"/>
  <c r="K340" i="14"/>
  <c r="I364" i="14"/>
  <c r="K379" i="14"/>
  <c r="P394" i="14"/>
  <c r="O634" i="14"/>
  <c r="N15" i="15"/>
  <c r="M26" i="15"/>
  <c r="M24" i="15" s="1"/>
  <c r="K80" i="15"/>
  <c r="P96" i="15"/>
  <c r="M94" i="15"/>
  <c r="P94" i="15" s="1"/>
  <c r="K99" i="15"/>
  <c r="K145" i="15"/>
  <c r="I143" i="15"/>
  <c r="P166" i="15"/>
  <c r="P170" i="15"/>
  <c r="M168" i="15"/>
  <c r="P168" i="15" s="1"/>
  <c r="L228" i="15"/>
  <c r="L249" i="15"/>
  <c r="O249" i="15" s="1"/>
  <c r="P282" i="15"/>
  <c r="M317" i="15"/>
  <c r="P317" i="15" s="1"/>
  <c r="O350" i="15"/>
  <c r="L347" i="15"/>
  <c r="L348" i="15"/>
  <c r="L392" i="15"/>
  <c r="O392" i="15" s="1"/>
  <c r="O394" i="15"/>
  <c r="L391" i="15"/>
  <c r="O391" i="15" s="1"/>
  <c r="M414" i="15"/>
  <c r="P414" i="15" s="1"/>
  <c r="P419" i="15"/>
  <c r="L454" i="15"/>
  <c r="O454" i="15" s="1"/>
  <c r="O456" i="15"/>
  <c r="O264" i="14"/>
  <c r="O280" i="14"/>
  <c r="M304" i="14"/>
  <c r="P304" i="14" s="1"/>
  <c r="L330" i="14"/>
  <c r="L328" i="14" s="1"/>
  <c r="L688" i="14"/>
  <c r="O688" i="14" s="1"/>
  <c r="O690" i="14"/>
  <c r="K821" i="14"/>
  <c r="K824" i="14"/>
  <c r="K827" i="14"/>
  <c r="O25" i="15"/>
  <c r="L15" i="15"/>
  <c r="P33" i="15"/>
  <c r="M30" i="15"/>
  <c r="P30" i="15" s="1"/>
  <c r="L43" i="15"/>
  <c r="M23" i="15"/>
  <c r="O71" i="15"/>
  <c r="K111" i="15"/>
  <c r="I174" i="15"/>
  <c r="P189" i="15"/>
  <c r="M187" i="15"/>
  <c r="P187" i="15" s="1"/>
  <c r="L238" i="15"/>
  <c r="O264" i="15"/>
  <c r="M264" i="15"/>
  <c r="P264" i="15" s="1"/>
  <c r="P266" i="15"/>
  <c r="O316" i="15"/>
  <c r="K338" i="15"/>
  <c r="L429" i="15"/>
  <c r="O429" i="15" s="1"/>
  <c r="O431" i="15"/>
  <c r="I434" i="15"/>
  <c r="K438" i="15"/>
  <c r="I233" i="15"/>
  <c r="K233" i="15" s="1"/>
  <c r="O329" i="15"/>
  <c r="K374" i="15"/>
  <c r="O407" i="15"/>
  <c r="N419" i="15"/>
  <c r="N444" i="15"/>
  <c r="L547" i="15"/>
  <c r="O547" i="15" s="1"/>
  <c r="O549" i="15"/>
  <c r="K568" i="15"/>
  <c r="O806" i="15"/>
  <c r="L805" i="15"/>
  <c r="O805" i="15" s="1"/>
  <c r="P657" i="15"/>
  <c r="M655" i="15"/>
  <c r="P655" i="15" s="1"/>
  <c r="I237" i="15"/>
  <c r="M330" i="15"/>
  <c r="M347" i="15"/>
  <c r="M523" i="15"/>
  <c r="P523" i="15" s="1"/>
  <c r="P524" i="15"/>
  <c r="J593" i="15"/>
  <c r="O656" i="15"/>
  <c r="K675" i="15"/>
  <c r="I654" i="15"/>
  <c r="K654" i="15" s="1"/>
  <c r="K674" i="15"/>
  <c r="K673" i="15"/>
  <c r="K669" i="15"/>
  <c r="K672" i="15"/>
  <c r="O690" i="15"/>
  <c r="L687" i="15"/>
  <c r="L688" i="15"/>
  <c r="O688" i="15" s="1"/>
  <c r="L469" i="15"/>
  <c r="K621" i="15"/>
  <c r="N629" i="15"/>
  <c r="K651" i="15"/>
  <c r="O630" i="15"/>
  <c r="P686" i="15"/>
  <c r="P787" i="15"/>
  <c r="L632" i="15"/>
  <c r="O632" i="15" s="1"/>
  <c r="L737" i="15"/>
  <c r="O737" i="15" s="1"/>
  <c r="L754" i="15"/>
  <c r="O754" i="15" s="1"/>
  <c r="I248" i="13"/>
  <c r="K248" i="13" s="1"/>
  <c r="O264" i="13"/>
  <c r="M43" i="14"/>
  <c r="N55" i="14"/>
  <c r="L68" i="14"/>
  <c r="N90" i="14"/>
  <c r="N88" i="14" s="1"/>
  <c r="L121" i="14"/>
  <c r="O121" i="14" s="1"/>
  <c r="L167" i="14"/>
  <c r="L165" i="14" s="1"/>
  <c r="I174" i="14"/>
  <c r="K174" i="14" s="1"/>
  <c r="P184" i="14"/>
  <c r="L209" i="14"/>
  <c r="O209" i="14" s="1"/>
  <c r="I248" i="14"/>
  <c r="K248" i="14" s="1"/>
  <c r="O282" i="14"/>
  <c r="M330" i="14"/>
  <c r="P336" i="14"/>
  <c r="P348" i="14"/>
  <c r="O353" i="14"/>
  <c r="I442" i="14"/>
  <c r="K442" i="14" s="1"/>
  <c r="L446" i="14"/>
  <c r="O446" i="14" s="1"/>
  <c r="L631" i="14"/>
  <c r="L629" i="14" s="1"/>
  <c r="O641" i="14"/>
  <c r="K673" i="14"/>
  <c r="M68" i="11"/>
  <c r="M66" i="11" s="1"/>
  <c r="N167" i="11"/>
  <c r="N165" i="11" s="1"/>
  <c r="M317" i="11"/>
  <c r="P317" i="11" s="1"/>
  <c r="N347" i="11"/>
  <c r="N345" i="11" s="1"/>
  <c r="L688" i="11"/>
  <c r="O688" i="11" s="1"/>
  <c r="L135" i="12"/>
  <c r="O135" i="12" s="1"/>
  <c r="N300" i="12"/>
  <c r="N298" i="12" s="1"/>
  <c r="M317" i="12"/>
  <c r="P317" i="12" s="1"/>
  <c r="I364" i="12"/>
  <c r="K720" i="12"/>
  <c r="N43" i="13"/>
  <c r="N41" i="13" s="1"/>
  <c r="L134" i="13"/>
  <c r="L132" i="13" s="1"/>
  <c r="N330" i="13"/>
  <c r="N328" i="13" s="1"/>
  <c r="L631" i="13"/>
  <c r="L629" i="13" s="1"/>
  <c r="O629" i="13" s="1"/>
  <c r="L688" i="13"/>
  <c r="K821" i="13"/>
  <c r="K827" i="13"/>
  <c r="N43" i="14"/>
  <c r="N41" i="14" s="1"/>
  <c r="O44" i="14"/>
  <c r="K116" i="14"/>
  <c r="N135" i="14"/>
  <c r="N152" i="14"/>
  <c r="M167" i="14"/>
  <c r="L231" i="14"/>
  <c r="O266" i="14"/>
  <c r="I276" i="14"/>
  <c r="K276" i="14" s="1"/>
  <c r="L279" i="14"/>
  <c r="I297" i="14"/>
  <c r="K297" i="14" s="1"/>
  <c r="N330" i="14"/>
  <c r="N328" i="14" s="1"/>
  <c r="M392" i="14"/>
  <c r="P392" i="14" s="1"/>
  <c r="L408" i="14"/>
  <c r="O408" i="14" s="1"/>
  <c r="K651" i="14"/>
  <c r="K674" i="14"/>
  <c r="O791" i="14"/>
  <c r="L155" i="11"/>
  <c r="O155" i="11" s="1"/>
  <c r="L55" i="12"/>
  <c r="K115" i="13"/>
  <c r="N263" i="13"/>
  <c r="N261" i="13" s="1"/>
  <c r="M267" i="13"/>
  <c r="P267" i="13" s="1"/>
  <c r="L279" i="13"/>
  <c r="N279" i="13"/>
  <c r="N277" i="13" s="1"/>
  <c r="K385" i="13"/>
  <c r="L404" i="13"/>
  <c r="O404" i="13" s="1"/>
  <c r="L23" i="14"/>
  <c r="L21" i="14" s="1"/>
  <c r="L26" i="14"/>
  <c r="M44" i="14"/>
  <c r="P44" i="14" s="1"/>
  <c r="N56" i="14"/>
  <c r="O58" i="14"/>
  <c r="O96" i="14"/>
  <c r="M331" i="14"/>
  <c r="P331" i="14" s="1"/>
  <c r="N351" i="14"/>
  <c r="P351" i="14" s="1"/>
  <c r="P353" i="14"/>
  <c r="M395" i="14"/>
  <c r="P395" i="14" s="1"/>
  <c r="K675" i="14"/>
  <c r="O93" i="10"/>
  <c r="I443" i="11"/>
  <c r="K443" i="11" s="1"/>
  <c r="K649" i="11"/>
  <c r="K378" i="12"/>
  <c r="K381" i="12"/>
  <c r="N183" i="13"/>
  <c r="N181" i="13" s="1"/>
  <c r="L317" i="13"/>
  <c r="O317" i="13" s="1"/>
  <c r="K369" i="13"/>
  <c r="O407" i="13"/>
  <c r="K462" i="13"/>
  <c r="L657" i="13"/>
  <c r="L655" i="13" s="1"/>
  <c r="P46" i="14"/>
  <c r="L59" i="14"/>
  <c r="O59" i="14" s="1"/>
  <c r="L122" i="14"/>
  <c r="O122" i="14" s="1"/>
  <c r="N168" i="14"/>
  <c r="P168" i="14" s="1"/>
  <c r="L171" i="14"/>
  <c r="O171" i="14" s="1"/>
  <c r="L249" i="14"/>
  <c r="O249" i="14" s="1"/>
  <c r="M267" i="14"/>
  <c r="P267" i="14" s="1"/>
  <c r="K325" i="14"/>
  <c r="O350" i="14"/>
  <c r="K360" i="14"/>
  <c r="K378" i="14"/>
  <c r="N395" i="14"/>
  <c r="I433" i="14"/>
  <c r="I417" i="14" s="1"/>
  <c r="K577" i="14"/>
  <c r="L788" i="14"/>
  <c r="O788" i="14" s="1"/>
  <c r="K822" i="14"/>
  <c r="K825" i="14"/>
  <c r="K828" i="14"/>
  <c r="K338" i="11"/>
  <c r="K370" i="12"/>
  <c r="M187" i="13"/>
  <c r="P187" i="13" s="1"/>
  <c r="I190" i="13"/>
  <c r="K190" i="13" s="1"/>
  <c r="K370" i="13"/>
  <c r="K378" i="13"/>
  <c r="K381" i="13"/>
  <c r="L392" i="13"/>
  <c r="O392" i="13" s="1"/>
  <c r="K649" i="13"/>
  <c r="L33" i="14"/>
  <c r="O33" i="14" s="1"/>
  <c r="N69" i="14"/>
  <c r="P69" i="14" s="1"/>
  <c r="I76" i="14"/>
  <c r="K76" i="14" s="1"/>
  <c r="I87" i="14"/>
  <c r="K87" i="14" s="1"/>
  <c r="M90" i="14"/>
  <c r="M183" i="14"/>
  <c r="L198" i="14"/>
  <c r="O198" i="14" s="1"/>
  <c r="L238" i="14"/>
  <c r="O238" i="14" s="1"/>
  <c r="L300" i="14"/>
  <c r="L298" i="14" s="1"/>
  <c r="L317" i="14"/>
  <c r="O317" i="14" s="1"/>
  <c r="I654" i="14"/>
  <c r="N317" i="13"/>
  <c r="N315" i="13" s="1"/>
  <c r="J327" i="13"/>
  <c r="K327" i="13" s="1"/>
  <c r="O120" i="14"/>
  <c r="P157" i="14"/>
  <c r="M155" i="14"/>
  <c r="P155" i="14" s="1"/>
  <c r="M283" i="14"/>
  <c r="P283" i="14" s="1"/>
  <c r="P285" i="14"/>
  <c r="J722" i="12"/>
  <c r="M122" i="13"/>
  <c r="P122" i="13" s="1"/>
  <c r="N187" i="13"/>
  <c r="I208" i="13"/>
  <c r="K208" i="13" s="1"/>
  <c r="L238" i="13"/>
  <c r="O238" i="13" s="1"/>
  <c r="N280" i="13"/>
  <c r="O280" i="13" s="1"/>
  <c r="I297" i="13"/>
  <c r="K297" i="13" s="1"/>
  <c r="N318" i="13"/>
  <c r="M334" i="13"/>
  <c r="P334" i="13" s="1"/>
  <c r="N347" i="13"/>
  <c r="N345" i="13" s="1"/>
  <c r="P350" i="13"/>
  <c r="K365" i="13"/>
  <c r="N392" i="13"/>
  <c r="L395" i="13"/>
  <c r="O395" i="13" s="1"/>
  <c r="O54" i="14"/>
  <c r="K111" i="14"/>
  <c r="P124" i="14"/>
  <c r="M122" i="14"/>
  <c r="P122" i="14" s="1"/>
  <c r="N227" i="14"/>
  <c r="P266" i="14"/>
  <c r="M263" i="14"/>
  <c r="L555" i="14"/>
  <c r="O555" i="14" s="1"/>
  <c r="L546" i="14"/>
  <c r="L544" i="14" s="1"/>
  <c r="O557" i="14"/>
  <c r="I559" i="14"/>
  <c r="K576" i="14"/>
  <c r="J592" i="14"/>
  <c r="K593" i="14"/>
  <c r="N29" i="14"/>
  <c r="N28" i="14" s="1"/>
  <c r="N31" i="14"/>
  <c r="P58" i="14"/>
  <c r="M56" i="14"/>
  <c r="I86" i="14"/>
  <c r="K86" i="14" s="1"/>
  <c r="K98" i="14"/>
  <c r="J364" i="14"/>
  <c r="K365" i="14"/>
  <c r="J537" i="14"/>
  <c r="J522" i="14" s="1"/>
  <c r="K538" i="14"/>
  <c r="N318" i="11"/>
  <c r="O320" i="11"/>
  <c r="O407" i="11"/>
  <c r="K98" i="12"/>
  <c r="I148" i="12"/>
  <c r="K148" i="12" s="1"/>
  <c r="I297" i="12"/>
  <c r="K297" i="12" s="1"/>
  <c r="K649" i="12"/>
  <c r="M72" i="13"/>
  <c r="P72" i="13" s="1"/>
  <c r="M94" i="13"/>
  <c r="P94" i="13" s="1"/>
  <c r="M134" i="13"/>
  <c r="M132" i="13" s="1"/>
  <c r="L217" i="13"/>
  <c r="O217" i="13" s="1"/>
  <c r="I233" i="13"/>
  <c r="K233" i="13" s="1"/>
  <c r="L230" i="13"/>
  <c r="P266" i="13"/>
  <c r="M300" i="13"/>
  <c r="M298" i="13" s="1"/>
  <c r="P298" i="13" s="1"/>
  <c r="O323" i="13"/>
  <c r="L391" i="13"/>
  <c r="O535" i="13"/>
  <c r="L533" i="13"/>
  <c r="O533" i="13" s="1"/>
  <c r="N15" i="14"/>
  <c r="P127" i="14"/>
  <c r="M125" i="14"/>
  <c r="P125" i="14" s="1"/>
  <c r="O150" i="14"/>
  <c r="P502" i="14"/>
  <c r="M267" i="12"/>
  <c r="P267" i="12" s="1"/>
  <c r="O456" i="12"/>
  <c r="K86" i="13"/>
  <c r="P170" i="13"/>
  <c r="M183" i="13"/>
  <c r="M181" i="13" s="1"/>
  <c r="O282" i="13"/>
  <c r="P303" i="13"/>
  <c r="P333" i="13"/>
  <c r="K340" i="13"/>
  <c r="K355" i="13"/>
  <c r="K360" i="13"/>
  <c r="K379" i="13"/>
  <c r="K673" i="13"/>
  <c r="K672" i="13"/>
  <c r="I654" i="13"/>
  <c r="M26" i="14"/>
  <c r="P61" i="14"/>
  <c r="M59" i="14"/>
  <c r="P59" i="14" s="1"/>
  <c r="J143" i="14"/>
  <c r="J131" i="14" s="1"/>
  <c r="K145" i="14"/>
  <c r="I143" i="14"/>
  <c r="P154" i="14"/>
  <c r="M152" i="14"/>
  <c r="I190" i="14"/>
  <c r="K190" i="14" s="1"/>
  <c r="J364" i="12"/>
  <c r="O528" i="12"/>
  <c r="K647" i="12"/>
  <c r="M121" i="13"/>
  <c r="P121" i="13" s="1"/>
  <c r="O306" i="13"/>
  <c r="P331" i="13"/>
  <c r="K651" i="13"/>
  <c r="I628" i="13"/>
  <c r="K628" i="13" s="1"/>
  <c r="N26" i="14"/>
  <c r="P687" i="14"/>
  <c r="M685" i="14"/>
  <c r="P685" i="14" s="1"/>
  <c r="I77" i="14"/>
  <c r="K82" i="14"/>
  <c r="I130" i="14"/>
  <c r="K130" i="14" s="1"/>
  <c r="I197" i="14"/>
  <c r="K197" i="14" s="1"/>
  <c r="J288" i="14"/>
  <c r="J275" i="14" s="1"/>
  <c r="I275" i="14"/>
  <c r="P303" i="14"/>
  <c r="J327" i="14"/>
  <c r="K327" i="14" s="1"/>
  <c r="O549" i="14"/>
  <c r="N546" i="14"/>
  <c r="K592" i="14"/>
  <c r="P755" i="14"/>
  <c r="M754" i="14"/>
  <c r="P754" i="14" s="1"/>
  <c r="O787" i="14"/>
  <c r="I785" i="14"/>
  <c r="K785" i="14" s="1"/>
  <c r="K800" i="14"/>
  <c r="O806" i="14"/>
  <c r="L805" i="14"/>
  <c r="O805" i="14" s="1"/>
  <c r="K466" i="13"/>
  <c r="M12" i="14"/>
  <c r="P15" i="14"/>
  <c r="M19" i="14"/>
  <c r="P22" i="14"/>
  <c r="P29" i="14"/>
  <c r="P35" i="14"/>
  <c r="O46" i="14"/>
  <c r="O49" i="14"/>
  <c r="O71" i="14"/>
  <c r="O74" i="14"/>
  <c r="O89" i="14"/>
  <c r="P93" i="14"/>
  <c r="P96" i="14"/>
  <c r="O137" i="14"/>
  <c r="O140" i="14"/>
  <c r="P170" i="14"/>
  <c r="P173" i="14"/>
  <c r="P186" i="14"/>
  <c r="P189" i="14"/>
  <c r="I237" i="14"/>
  <c r="K372" i="14"/>
  <c r="N547" i="14"/>
  <c r="O547" i="14" s="1"/>
  <c r="P738" i="14"/>
  <c r="M737" i="14"/>
  <c r="P737" i="14" s="1"/>
  <c r="N789" i="14"/>
  <c r="K801" i="13"/>
  <c r="L15" i="14"/>
  <c r="L29" i="14"/>
  <c r="M30" i="14"/>
  <c r="P30" i="14" s="1"/>
  <c r="L267" i="14"/>
  <c r="O267" i="14" s="1"/>
  <c r="O269" i="14"/>
  <c r="O278" i="14"/>
  <c r="N300" i="14"/>
  <c r="L301" i="14"/>
  <c r="O301" i="14" s="1"/>
  <c r="O303" i="14"/>
  <c r="N317" i="14"/>
  <c r="N315" i="14" s="1"/>
  <c r="L318" i="14"/>
  <c r="O318" i="14" s="1"/>
  <c r="O320" i="14"/>
  <c r="O333" i="14"/>
  <c r="L331" i="14"/>
  <c r="O331" i="14" s="1"/>
  <c r="K381" i="14"/>
  <c r="N404" i="14"/>
  <c r="N402" i="14" s="1"/>
  <c r="O545" i="14"/>
  <c r="K594" i="14"/>
  <c r="N631" i="14"/>
  <c r="N263" i="14"/>
  <c r="P299" i="14"/>
  <c r="P316" i="14"/>
  <c r="P403" i="14"/>
  <c r="J433" i="14"/>
  <c r="K437" i="14"/>
  <c r="L533" i="14"/>
  <c r="O533" i="14" s="1"/>
  <c r="O535" i="14"/>
  <c r="L525" i="14"/>
  <c r="O525" i="14" s="1"/>
  <c r="N544" i="14"/>
  <c r="P555" i="14"/>
  <c r="M545" i="14"/>
  <c r="P630" i="14"/>
  <c r="M629" i="14"/>
  <c r="P629" i="14" s="1"/>
  <c r="O686" i="14"/>
  <c r="L685" i="14"/>
  <c r="O685" i="14" s="1"/>
  <c r="P788" i="14"/>
  <c r="M786" i="14"/>
  <c r="P786" i="14" s="1"/>
  <c r="P807" i="14"/>
  <c r="M805" i="14"/>
  <c r="P805" i="14" s="1"/>
  <c r="M280" i="14"/>
  <c r="P280" i="14" s="1"/>
  <c r="P282" i="14"/>
  <c r="L304" i="14"/>
  <c r="O304" i="14" s="1"/>
  <c r="O306" i="14"/>
  <c r="L321" i="14"/>
  <c r="O321" i="14" s="1"/>
  <c r="O323" i="14"/>
  <c r="O336" i="14"/>
  <c r="L334" i="14"/>
  <c r="O334" i="14" s="1"/>
  <c r="K465" i="14"/>
  <c r="K669" i="14"/>
  <c r="J654" i="14"/>
  <c r="P771" i="14"/>
  <c r="M770" i="14"/>
  <c r="P770" i="14" s="1"/>
  <c r="L348" i="14"/>
  <c r="O348" i="14" s="1"/>
  <c r="L351" i="14"/>
  <c r="L392" i="14"/>
  <c r="O392" i="14" s="1"/>
  <c r="L395" i="14"/>
  <c r="O395" i="14" s="1"/>
  <c r="O407" i="14"/>
  <c r="L422" i="14"/>
  <c r="O422" i="14" s="1"/>
  <c r="I434" i="14"/>
  <c r="L447" i="14"/>
  <c r="O447" i="14" s="1"/>
  <c r="O468" i="14"/>
  <c r="L477" i="14"/>
  <c r="O477" i="14" s="1"/>
  <c r="L658" i="14"/>
  <c r="O658" i="14" s="1"/>
  <c r="L469" i="14"/>
  <c r="L467" i="14" s="1"/>
  <c r="I628" i="14"/>
  <c r="K628" i="14" s="1"/>
  <c r="M523" i="14"/>
  <c r="P523" i="14" s="1"/>
  <c r="N469" i="14"/>
  <c r="N467" i="14" s="1"/>
  <c r="L639" i="11"/>
  <c r="O639" i="11" s="1"/>
  <c r="K204" i="7"/>
  <c r="M187" i="9"/>
  <c r="P187" i="9" s="1"/>
  <c r="I237" i="9"/>
  <c r="K237" i="9" s="1"/>
  <c r="M121" i="10"/>
  <c r="P121" i="10" s="1"/>
  <c r="O333" i="11"/>
  <c r="L36" i="12"/>
  <c r="O36" i="12" s="1"/>
  <c r="N43" i="12"/>
  <c r="N41" i="12" s="1"/>
  <c r="P46" i="12"/>
  <c r="M55" i="12"/>
  <c r="M53" i="12" s="1"/>
  <c r="O58" i="12"/>
  <c r="N55" i="12"/>
  <c r="N53" i="12" s="1"/>
  <c r="P351" i="12"/>
  <c r="K379" i="12"/>
  <c r="N391" i="12"/>
  <c r="N389" i="12" s="1"/>
  <c r="L421" i="12"/>
  <c r="O421" i="12" s="1"/>
  <c r="K801" i="12"/>
  <c r="N23" i="13"/>
  <c r="N21" i="13" s="1"/>
  <c r="N44" i="13"/>
  <c r="O44" i="13" s="1"/>
  <c r="L59" i="13"/>
  <c r="O59" i="13" s="1"/>
  <c r="K78" i="13"/>
  <c r="I260" i="13"/>
  <c r="K260" i="13" s="1"/>
  <c r="M263" i="13"/>
  <c r="M261" i="13" s="1"/>
  <c r="J288" i="13"/>
  <c r="J275" i="13" s="1"/>
  <c r="K275" i="13" s="1"/>
  <c r="I442" i="13"/>
  <c r="K442" i="13" s="1"/>
  <c r="J537" i="13"/>
  <c r="J522" i="13" s="1"/>
  <c r="O791" i="13"/>
  <c r="K824" i="13"/>
  <c r="M122" i="11"/>
  <c r="P122" i="11" s="1"/>
  <c r="P44" i="12"/>
  <c r="P58" i="12"/>
  <c r="I276" i="12"/>
  <c r="K276" i="12" s="1"/>
  <c r="P282" i="13"/>
  <c r="M330" i="13"/>
  <c r="I522" i="13"/>
  <c r="K522" i="13" s="1"/>
  <c r="L547" i="13"/>
  <c r="O547" i="13" s="1"/>
  <c r="L47" i="7"/>
  <c r="O47" i="7" s="1"/>
  <c r="L279" i="11"/>
  <c r="L277" i="11" s="1"/>
  <c r="L47" i="12"/>
  <c r="O47" i="12" s="1"/>
  <c r="K369" i="12"/>
  <c r="L392" i="12"/>
  <c r="O392" i="12" s="1"/>
  <c r="I443" i="12"/>
  <c r="K443" i="12" s="1"/>
  <c r="L525" i="12"/>
  <c r="O525" i="12" s="1"/>
  <c r="K701" i="12"/>
  <c r="K803" i="12"/>
  <c r="O157" i="13"/>
  <c r="M264" i="13"/>
  <c r="P264" i="13" s="1"/>
  <c r="L283" i="13"/>
  <c r="O283" i="13" s="1"/>
  <c r="M279" i="13"/>
  <c r="M277" i="13" s="1"/>
  <c r="L301" i="13"/>
  <c r="O301" i="13" s="1"/>
  <c r="M347" i="13"/>
  <c r="M351" i="13"/>
  <c r="P351" i="13" s="1"/>
  <c r="M392" i="13"/>
  <c r="P392" i="13" s="1"/>
  <c r="L555" i="13"/>
  <c r="O555" i="13" s="1"/>
  <c r="K822" i="13"/>
  <c r="K825" i="13"/>
  <c r="M151" i="12"/>
  <c r="O333" i="12"/>
  <c r="M404" i="12"/>
  <c r="P404" i="12" s="1"/>
  <c r="O58" i="13"/>
  <c r="N90" i="13"/>
  <c r="K99" i="13"/>
  <c r="M167" i="13"/>
  <c r="M165" i="13" s="1"/>
  <c r="L300" i="13"/>
  <c r="O300" i="13" s="1"/>
  <c r="K362" i="13"/>
  <c r="L33" i="13"/>
  <c r="L31" i="13" s="1"/>
  <c r="L788" i="2"/>
  <c r="O788" i="2" s="1"/>
  <c r="M348" i="13"/>
  <c r="P348" i="13" s="1"/>
  <c r="K338" i="10"/>
  <c r="P127" i="11"/>
  <c r="P56" i="12"/>
  <c r="K99" i="12"/>
  <c r="P266" i="12"/>
  <c r="M334" i="12"/>
  <c r="P334" i="12" s="1"/>
  <c r="K338" i="12"/>
  <c r="L408" i="12"/>
  <c r="O408" i="12" s="1"/>
  <c r="P93" i="13"/>
  <c r="O140" i="13"/>
  <c r="P154" i="13"/>
  <c r="L209" i="13"/>
  <c r="O209" i="13" s="1"/>
  <c r="L249" i="13"/>
  <c r="O249" i="13" s="1"/>
  <c r="O269" i="13"/>
  <c r="M391" i="13"/>
  <c r="K823" i="13"/>
  <c r="K826" i="13"/>
  <c r="P184" i="11"/>
  <c r="I77" i="12"/>
  <c r="K77" i="12" s="1"/>
  <c r="J433" i="12"/>
  <c r="J417" i="12" s="1"/>
  <c r="O12" i="13"/>
  <c r="N19" i="13"/>
  <c r="M26" i="13"/>
  <c r="M24" i="13" s="1"/>
  <c r="P67" i="13"/>
  <c r="P133" i="13"/>
  <c r="K146" i="13"/>
  <c r="I130" i="13"/>
  <c r="K130" i="13" s="1"/>
  <c r="P150" i="13"/>
  <c r="K204" i="13"/>
  <c r="I197" i="13"/>
  <c r="K197" i="13" s="1"/>
  <c r="L134" i="11"/>
  <c r="L132" i="11" s="1"/>
  <c r="L209" i="11"/>
  <c r="O209" i="11" s="1"/>
  <c r="L391" i="11"/>
  <c r="O391" i="11" s="1"/>
  <c r="I76" i="12"/>
  <c r="K76" i="12" s="1"/>
  <c r="P96" i="12"/>
  <c r="M94" i="12"/>
  <c r="P94" i="12" s="1"/>
  <c r="N121" i="12"/>
  <c r="N119" i="12" s="1"/>
  <c r="M134" i="12"/>
  <c r="L217" i="12"/>
  <c r="O217" i="12" s="1"/>
  <c r="O285" i="12"/>
  <c r="L283" i="12"/>
  <c r="O283" i="12" s="1"/>
  <c r="M300" i="12"/>
  <c r="M298" i="12" s="1"/>
  <c r="N331" i="12"/>
  <c r="O331" i="12" s="1"/>
  <c r="J327" i="12"/>
  <c r="K327" i="12" s="1"/>
  <c r="N347" i="12"/>
  <c r="N345" i="12" s="1"/>
  <c r="P350" i="12"/>
  <c r="K360" i="12"/>
  <c r="K372" i="12"/>
  <c r="I434" i="12"/>
  <c r="I418" i="12" s="1"/>
  <c r="K418" i="12" s="1"/>
  <c r="K821" i="12"/>
  <c r="K824" i="12"/>
  <c r="P12" i="13"/>
  <c r="M23" i="13"/>
  <c r="M21" i="13" s="1"/>
  <c r="O25" i="13"/>
  <c r="L15" i="13"/>
  <c r="N26" i="13"/>
  <c r="M47" i="13"/>
  <c r="P47" i="13" s="1"/>
  <c r="L55" i="13"/>
  <c r="N69" i="13"/>
  <c r="P71" i="13"/>
  <c r="M69" i="13"/>
  <c r="P69" i="13" s="1"/>
  <c r="I77" i="13"/>
  <c r="K79" i="13"/>
  <c r="M91" i="13"/>
  <c r="P91" i="13" s="1"/>
  <c r="K98" i="13"/>
  <c r="L122" i="13"/>
  <c r="O122" i="13" s="1"/>
  <c r="I131" i="13"/>
  <c r="J143" i="13"/>
  <c r="J131" i="13" s="1"/>
  <c r="M171" i="13"/>
  <c r="P171" i="13" s="1"/>
  <c r="L228" i="13"/>
  <c r="L347" i="13"/>
  <c r="M408" i="13"/>
  <c r="P408" i="13" s="1"/>
  <c r="P410" i="13"/>
  <c r="M545" i="13"/>
  <c r="P555" i="13"/>
  <c r="I559" i="13"/>
  <c r="L547" i="5"/>
  <c r="O547" i="5" s="1"/>
  <c r="O74" i="12"/>
  <c r="L72" i="12"/>
  <c r="O72" i="12" s="1"/>
  <c r="P93" i="12"/>
  <c r="M91" i="12"/>
  <c r="P91" i="12" s="1"/>
  <c r="M167" i="12"/>
  <c r="M165" i="12" s="1"/>
  <c r="P173" i="12"/>
  <c r="M171" i="12"/>
  <c r="P171" i="12" s="1"/>
  <c r="L280" i="12"/>
  <c r="O280" i="12" s="1"/>
  <c r="O282" i="12"/>
  <c r="M15" i="13"/>
  <c r="L94" i="13"/>
  <c r="O94" i="13" s="1"/>
  <c r="O96" i="13"/>
  <c r="P120" i="13"/>
  <c r="O278" i="13"/>
  <c r="M283" i="13"/>
  <c r="P283" i="13" s="1"/>
  <c r="P285" i="13"/>
  <c r="K325" i="13"/>
  <c r="I314" i="13"/>
  <c r="K314" i="13" s="1"/>
  <c r="O431" i="13"/>
  <c r="L421" i="13"/>
  <c r="L36" i="13"/>
  <c r="L470" i="13"/>
  <c r="O470" i="13" s="1"/>
  <c r="O472" i="13"/>
  <c r="L469" i="13"/>
  <c r="M655" i="13"/>
  <c r="P655" i="13" s="1"/>
  <c r="P656" i="13"/>
  <c r="I260" i="11"/>
  <c r="K260" i="11" s="1"/>
  <c r="K647" i="11"/>
  <c r="O46" i="12"/>
  <c r="L68" i="12"/>
  <c r="L66" i="12" s="1"/>
  <c r="M135" i="12"/>
  <c r="P135" i="12" s="1"/>
  <c r="M155" i="12"/>
  <c r="P155" i="12" s="1"/>
  <c r="N348" i="12"/>
  <c r="O348" i="12" s="1"/>
  <c r="L422" i="12"/>
  <c r="O422" i="12" s="1"/>
  <c r="I433" i="12"/>
  <c r="K435" i="12"/>
  <c r="M19" i="13"/>
  <c r="M43" i="13"/>
  <c r="M68" i="13"/>
  <c r="P68" i="13" s="1"/>
  <c r="O124" i="13"/>
  <c r="N135" i="13"/>
  <c r="P137" i="13"/>
  <c r="N151" i="13"/>
  <c r="N149" i="13" s="1"/>
  <c r="L152" i="13"/>
  <c r="O152" i="13" s="1"/>
  <c r="O154" i="13"/>
  <c r="L151" i="13"/>
  <c r="O266" i="13"/>
  <c r="P320" i="13"/>
  <c r="M318" i="13"/>
  <c r="P318" i="13" s="1"/>
  <c r="M317" i="13"/>
  <c r="P317" i="13" s="1"/>
  <c r="L351" i="13"/>
  <c r="O351" i="13" s="1"/>
  <c r="N631" i="13"/>
  <c r="N629" i="13" s="1"/>
  <c r="O634" i="13"/>
  <c r="N632" i="13"/>
  <c r="O632" i="13" s="1"/>
  <c r="O687" i="13"/>
  <c r="L770" i="13"/>
  <c r="O770" i="13" s="1"/>
  <c r="O788" i="13"/>
  <c r="M155" i="7"/>
  <c r="P155" i="7" s="1"/>
  <c r="O127" i="9"/>
  <c r="L187" i="11"/>
  <c r="O187" i="11" s="1"/>
  <c r="O189" i="11"/>
  <c r="M26" i="12"/>
  <c r="M16" i="12" s="1"/>
  <c r="L56" i="12"/>
  <c r="O56" i="12" s="1"/>
  <c r="M68" i="12"/>
  <c r="M66" i="12" s="1"/>
  <c r="K255" i="12"/>
  <c r="O431" i="12"/>
  <c r="O19" i="13"/>
  <c r="P25" i="13"/>
  <c r="L23" i="13"/>
  <c r="O46" i="13"/>
  <c r="O49" i="13"/>
  <c r="L56" i="13"/>
  <c r="L90" i="13"/>
  <c r="L125" i="13"/>
  <c r="O125" i="13" s="1"/>
  <c r="O137" i="13"/>
  <c r="O186" i="13"/>
  <c r="L184" i="13"/>
  <c r="O184" i="13" s="1"/>
  <c r="L263" i="13"/>
  <c r="K287" i="13"/>
  <c r="I276" i="13"/>
  <c r="K276" i="13" s="1"/>
  <c r="O333" i="13"/>
  <c r="L330" i="13"/>
  <c r="L331" i="13"/>
  <c r="O331" i="13" s="1"/>
  <c r="P419" i="13"/>
  <c r="O690" i="13"/>
  <c r="N688" i="13"/>
  <c r="O739" i="13"/>
  <c r="L737" i="13"/>
  <c r="O737" i="13" s="1"/>
  <c r="N43" i="8"/>
  <c r="N41" i="8" s="1"/>
  <c r="O93" i="9"/>
  <c r="O266" i="10"/>
  <c r="N43" i="11"/>
  <c r="N41" i="11" s="1"/>
  <c r="N68" i="11"/>
  <c r="N66" i="11" s="1"/>
  <c r="L122" i="11"/>
  <c r="O122" i="11" s="1"/>
  <c r="M155" i="11"/>
  <c r="P155" i="11" s="1"/>
  <c r="M171" i="11"/>
  <c r="P171" i="11" s="1"/>
  <c r="K435" i="11"/>
  <c r="I433" i="11"/>
  <c r="I417" i="11" s="1"/>
  <c r="L33" i="12"/>
  <c r="L31" i="12" s="1"/>
  <c r="O31" i="12" s="1"/>
  <c r="L69" i="12"/>
  <c r="O69" i="12" s="1"/>
  <c r="M121" i="12"/>
  <c r="P121" i="12" s="1"/>
  <c r="P124" i="12"/>
  <c r="M122" i="12"/>
  <c r="P122" i="12" s="1"/>
  <c r="L228" i="12"/>
  <c r="K271" i="12"/>
  <c r="P306" i="12"/>
  <c r="M304" i="12"/>
  <c r="P304" i="12" s="1"/>
  <c r="K620" i="12"/>
  <c r="N15" i="13"/>
  <c r="N9" i="13" s="1"/>
  <c r="P22" i="13"/>
  <c r="L26" i="13"/>
  <c r="M34" i="13"/>
  <c r="P34" i="13" s="1"/>
  <c r="P35" i="13"/>
  <c r="P46" i="13"/>
  <c r="N56" i="13"/>
  <c r="P58" i="13"/>
  <c r="N55" i="13"/>
  <c r="O67" i="13"/>
  <c r="L91" i="13"/>
  <c r="O91" i="13" s="1"/>
  <c r="O93" i="13"/>
  <c r="N134" i="13"/>
  <c r="L138" i="13"/>
  <c r="P168" i="13"/>
  <c r="O173" i="13"/>
  <c r="L171" i="13"/>
  <c r="O171" i="13" s="1"/>
  <c r="O182" i="13"/>
  <c r="P186" i="13"/>
  <c r="M184" i="13"/>
  <c r="P184" i="13" s="1"/>
  <c r="N227" i="13"/>
  <c r="M304" i="13"/>
  <c r="P304" i="13" s="1"/>
  <c r="P306" i="13"/>
  <c r="P323" i="13"/>
  <c r="M321" i="13"/>
  <c r="P321" i="13" s="1"/>
  <c r="K440" i="13"/>
  <c r="I434" i="13"/>
  <c r="N546" i="13"/>
  <c r="N547" i="13"/>
  <c r="N33" i="13"/>
  <c r="J654" i="13"/>
  <c r="K669" i="13"/>
  <c r="O685" i="13"/>
  <c r="N687" i="13"/>
  <c r="N685" i="13" s="1"/>
  <c r="L183" i="12"/>
  <c r="L229" i="12"/>
  <c r="N279" i="12"/>
  <c r="N277" i="12" s="1"/>
  <c r="P303" i="12"/>
  <c r="K577" i="12"/>
  <c r="I785" i="12"/>
  <c r="N138" i="13"/>
  <c r="P138" i="13" s="1"/>
  <c r="P140" i="13"/>
  <c r="O170" i="13"/>
  <c r="L168" i="13"/>
  <c r="O168" i="13" s="1"/>
  <c r="O189" i="13"/>
  <c r="L187" i="13"/>
  <c r="O187" i="13" s="1"/>
  <c r="L198" i="13"/>
  <c r="O198" i="13" s="1"/>
  <c r="J364" i="13"/>
  <c r="K435" i="13"/>
  <c r="J433" i="13"/>
  <c r="J417" i="13" s="1"/>
  <c r="I433" i="13"/>
  <c r="L477" i="13"/>
  <c r="O477" i="13" s="1"/>
  <c r="O479" i="13"/>
  <c r="M502" i="13"/>
  <c r="P502" i="13" s="1"/>
  <c r="P503" i="13"/>
  <c r="K723" i="13"/>
  <c r="J721" i="13"/>
  <c r="K721" i="13" s="1"/>
  <c r="O786" i="13"/>
  <c r="P93" i="11"/>
  <c r="P350" i="11"/>
  <c r="P353" i="11"/>
  <c r="K369" i="11"/>
  <c r="K372" i="11"/>
  <c r="I434" i="11"/>
  <c r="I418" i="11" s="1"/>
  <c r="K418" i="11" s="1"/>
  <c r="K100" i="12"/>
  <c r="L231" i="12"/>
  <c r="P333" i="12"/>
  <c r="O353" i="12"/>
  <c r="L469" i="12"/>
  <c r="O469" i="12" s="1"/>
  <c r="K823" i="12"/>
  <c r="M31" i="13"/>
  <c r="P31" i="13" s="1"/>
  <c r="J87" i="13"/>
  <c r="K87" i="13" s="1"/>
  <c r="I216" i="13"/>
  <c r="K216" i="13" s="1"/>
  <c r="M405" i="13"/>
  <c r="P405" i="13" s="1"/>
  <c r="P407" i="13"/>
  <c r="M404" i="13"/>
  <c r="N447" i="13"/>
  <c r="O447" i="13" s="1"/>
  <c r="N446" i="13"/>
  <c r="N444" i="13" s="1"/>
  <c r="N655" i="13"/>
  <c r="M685" i="13"/>
  <c r="P685" i="13" s="1"/>
  <c r="P686" i="13"/>
  <c r="K803" i="13"/>
  <c r="I785" i="13"/>
  <c r="K465" i="13"/>
  <c r="N467" i="13"/>
  <c r="N544" i="13"/>
  <c r="O549" i="13"/>
  <c r="I592" i="13"/>
  <c r="K592" i="13" s="1"/>
  <c r="K593" i="13"/>
  <c r="J722" i="13"/>
  <c r="K722" i="13" s="1"/>
  <c r="K725" i="13"/>
  <c r="M737" i="13"/>
  <c r="P737" i="13" s="1"/>
  <c r="M754" i="13"/>
  <c r="P754" i="13" s="1"/>
  <c r="M770" i="13"/>
  <c r="P770" i="13" s="1"/>
  <c r="I237" i="13"/>
  <c r="K374" i="13"/>
  <c r="M629" i="13"/>
  <c r="P629" i="13" s="1"/>
  <c r="K675" i="13"/>
  <c r="N739" i="13"/>
  <c r="N737" i="13" s="1"/>
  <c r="N756" i="13"/>
  <c r="N754" i="13" s="1"/>
  <c r="N772" i="13"/>
  <c r="N770" i="13" s="1"/>
  <c r="L525" i="13"/>
  <c r="O525" i="13" s="1"/>
  <c r="P71" i="10"/>
  <c r="I592" i="10"/>
  <c r="K592" i="10" s="1"/>
  <c r="L317" i="11"/>
  <c r="O317" i="11" s="1"/>
  <c r="M72" i="12"/>
  <c r="P72" i="12" s="1"/>
  <c r="K82" i="12"/>
  <c r="M90" i="12"/>
  <c r="I130" i="12"/>
  <c r="K130" i="12" s="1"/>
  <c r="O140" i="12"/>
  <c r="L151" i="12"/>
  <c r="P184" i="12"/>
  <c r="P186" i="12"/>
  <c r="L230" i="12"/>
  <c r="M318" i="12"/>
  <c r="P318" i="12" s="1"/>
  <c r="K359" i="12"/>
  <c r="K362" i="12"/>
  <c r="M395" i="12"/>
  <c r="P395" i="12" s="1"/>
  <c r="L405" i="12"/>
  <c r="O405" i="12" s="1"/>
  <c r="K537" i="12"/>
  <c r="K569" i="12"/>
  <c r="L631" i="12"/>
  <c r="O631" i="12" s="1"/>
  <c r="K628" i="12"/>
  <c r="M187" i="11"/>
  <c r="P187" i="11" s="1"/>
  <c r="M348" i="11"/>
  <c r="K355" i="11"/>
  <c r="N404" i="11"/>
  <c r="N402" i="11" s="1"/>
  <c r="N90" i="12"/>
  <c r="N88" i="12" s="1"/>
  <c r="O91" i="12"/>
  <c r="I143" i="12"/>
  <c r="M187" i="12"/>
  <c r="P187" i="12" s="1"/>
  <c r="P189" i="12"/>
  <c r="K193" i="12"/>
  <c r="K204" i="12"/>
  <c r="I233" i="12"/>
  <c r="K233" i="12" s="1"/>
  <c r="L279" i="12"/>
  <c r="N283" i="12"/>
  <c r="M321" i="12"/>
  <c r="P321" i="12" s="1"/>
  <c r="P323" i="12"/>
  <c r="K374" i="12"/>
  <c r="L657" i="12"/>
  <c r="O657" i="12" s="1"/>
  <c r="L788" i="12"/>
  <c r="K827" i="12"/>
  <c r="K649" i="9"/>
  <c r="M55" i="10"/>
  <c r="M53" i="10" s="1"/>
  <c r="M330" i="10"/>
  <c r="M328" i="10" s="1"/>
  <c r="L68" i="11"/>
  <c r="L66" i="11" s="1"/>
  <c r="I112" i="11"/>
  <c r="K112" i="11" s="1"/>
  <c r="N168" i="11"/>
  <c r="P168" i="11" s="1"/>
  <c r="M318" i="11"/>
  <c r="P318" i="11" s="1"/>
  <c r="L392" i="11"/>
  <c r="O392" i="11" s="1"/>
  <c r="O44" i="12"/>
  <c r="N68" i="12"/>
  <c r="J143" i="12"/>
  <c r="J131" i="12" s="1"/>
  <c r="N167" i="12"/>
  <c r="N165" i="12" s="1"/>
  <c r="L317" i="12"/>
  <c r="O317" i="12" s="1"/>
  <c r="L404" i="12"/>
  <c r="O404" i="12" s="1"/>
  <c r="L470" i="12"/>
  <c r="O470" i="12" s="1"/>
  <c r="K561" i="12"/>
  <c r="K98" i="10"/>
  <c r="M134" i="11"/>
  <c r="M132" i="11" s="1"/>
  <c r="N279" i="11"/>
  <c r="N277" i="11" s="1"/>
  <c r="M334" i="11"/>
  <c r="P334" i="11" s="1"/>
  <c r="M395" i="11"/>
  <c r="P395" i="11" s="1"/>
  <c r="O397" i="11"/>
  <c r="I522" i="11"/>
  <c r="K522" i="11" s="1"/>
  <c r="L526" i="11"/>
  <c r="O526" i="11" s="1"/>
  <c r="O61" i="12"/>
  <c r="P71" i="12"/>
  <c r="L134" i="12"/>
  <c r="K190" i="12"/>
  <c r="L209" i="12"/>
  <c r="O209" i="12" s="1"/>
  <c r="K215" i="12"/>
  <c r="M279" i="12"/>
  <c r="N330" i="12"/>
  <c r="N328" i="12" s="1"/>
  <c r="J537" i="12"/>
  <c r="J522" i="12" s="1"/>
  <c r="L171" i="7"/>
  <c r="O171" i="7" s="1"/>
  <c r="L134" i="9"/>
  <c r="L132" i="9" s="1"/>
  <c r="I364" i="9"/>
  <c r="M267" i="11"/>
  <c r="P267" i="11" s="1"/>
  <c r="L321" i="11"/>
  <c r="O321" i="11" s="1"/>
  <c r="K370" i="11"/>
  <c r="P69" i="12"/>
  <c r="K86" i="12"/>
  <c r="P170" i="12"/>
  <c r="N183" i="12"/>
  <c r="N181" i="12" s="1"/>
  <c r="I216" i="12"/>
  <c r="K216" i="12" s="1"/>
  <c r="N317" i="12"/>
  <c r="N315" i="12" s="1"/>
  <c r="N404" i="12"/>
  <c r="N402" i="12" s="1"/>
  <c r="L546" i="12"/>
  <c r="L544" i="12" s="1"/>
  <c r="O544" i="12" s="1"/>
  <c r="I559" i="12"/>
  <c r="I543" i="12" s="1"/>
  <c r="K543" i="12" s="1"/>
  <c r="O641" i="12"/>
  <c r="J721" i="12"/>
  <c r="O791" i="12"/>
  <c r="O19" i="12"/>
  <c r="M9" i="12"/>
  <c r="P12" i="12"/>
  <c r="O282" i="8"/>
  <c r="K720" i="8"/>
  <c r="K821" i="8"/>
  <c r="K824" i="8"/>
  <c r="K827" i="8"/>
  <c r="L68" i="9"/>
  <c r="L66" i="9" s="1"/>
  <c r="L43" i="10"/>
  <c r="L41" i="10" s="1"/>
  <c r="I275" i="10"/>
  <c r="K275" i="10" s="1"/>
  <c r="O336" i="10"/>
  <c r="J721" i="10"/>
  <c r="O138" i="11"/>
  <c r="M151" i="11"/>
  <c r="M149" i="11" s="1"/>
  <c r="L167" i="11"/>
  <c r="P186" i="11"/>
  <c r="O266" i="11"/>
  <c r="N280" i="11"/>
  <c r="P280" i="11" s="1"/>
  <c r="K309" i="11"/>
  <c r="M321" i="11"/>
  <c r="P321" i="11" s="1"/>
  <c r="O394" i="11"/>
  <c r="K673" i="11"/>
  <c r="K674" i="11"/>
  <c r="K675" i="11"/>
  <c r="J721" i="11"/>
  <c r="N19" i="12"/>
  <c r="N12" i="12"/>
  <c r="N26" i="12"/>
  <c r="L29" i="12"/>
  <c r="N30" i="12"/>
  <c r="N28" i="12" s="1"/>
  <c r="P35" i="12"/>
  <c r="L43" i="12"/>
  <c r="P61" i="12"/>
  <c r="N59" i="12"/>
  <c r="O59" i="12" s="1"/>
  <c r="L90" i="12"/>
  <c r="L121" i="12"/>
  <c r="L249" i="12"/>
  <c r="O249" i="12" s="1"/>
  <c r="L301" i="12"/>
  <c r="O303" i="12"/>
  <c r="L304" i="12"/>
  <c r="O304" i="12" s="1"/>
  <c r="O306" i="12"/>
  <c r="P807" i="12"/>
  <c r="M805" i="12"/>
  <c r="P805" i="12" s="1"/>
  <c r="J721" i="9"/>
  <c r="P138" i="10"/>
  <c r="O303" i="10"/>
  <c r="O58" i="11"/>
  <c r="P138" i="11"/>
  <c r="N151" i="11"/>
  <c r="N149" i="11" s="1"/>
  <c r="M167" i="11"/>
  <c r="M165" i="11" s="1"/>
  <c r="P266" i="11"/>
  <c r="K379" i="11"/>
  <c r="L547" i="11"/>
  <c r="O547" i="11" s="1"/>
  <c r="I559" i="11"/>
  <c r="K559" i="11" s="1"/>
  <c r="K576" i="11"/>
  <c r="K821" i="11"/>
  <c r="M29" i="12"/>
  <c r="M43" i="12"/>
  <c r="O71" i="12"/>
  <c r="O93" i="12"/>
  <c r="L125" i="12"/>
  <c r="O125" i="12" s="1"/>
  <c r="L152" i="12"/>
  <c r="O154" i="12"/>
  <c r="P168" i="12"/>
  <c r="L198" i="12"/>
  <c r="O198" i="12" s="1"/>
  <c r="O278" i="12"/>
  <c r="P329" i="12"/>
  <c r="L395" i="12"/>
  <c r="O395" i="12" s="1"/>
  <c r="O397" i="12"/>
  <c r="L391" i="12"/>
  <c r="N263" i="11"/>
  <c r="N261" i="11" s="1"/>
  <c r="L155" i="12"/>
  <c r="O155" i="12" s="1"/>
  <c r="O157" i="12"/>
  <c r="O186" i="12"/>
  <c r="L184" i="12"/>
  <c r="O184" i="12" s="1"/>
  <c r="M280" i="12"/>
  <c r="P280" i="12" s="1"/>
  <c r="P282" i="12"/>
  <c r="J288" i="12"/>
  <c r="J275" i="12" s="1"/>
  <c r="I275" i="12"/>
  <c r="O403" i="12"/>
  <c r="P503" i="12"/>
  <c r="M502" i="12"/>
  <c r="P502" i="12" s="1"/>
  <c r="M151" i="10"/>
  <c r="P151" i="10" s="1"/>
  <c r="L217" i="10"/>
  <c r="O217" i="10" s="1"/>
  <c r="N330" i="10"/>
  <c r="N328" i="10" s="1"/>
  <c r="L687" i="10"/>
  <c r="O687" i="10" s="1"/>
  <c r="M43" i="11"/>
  <c r="M41" i="11" s="1"/>
  <c r="M55" i="11"/>
  <c r="P137" i="11"/>
  <c r="O140" i="11"/>
  <c r="O170" i="11"/>
  <c r="N183" i="11"/>
  <c r="N181" i="11" s="1"/>
  <c r="L198" i="11"/>
  <c r="O198" i="11" s="1"/>
  <c r="L249" i="11"/>
  <c r="O249" i="11" s="1"/>
  <c r="K440" i="11"/>
  <c r="I442" i="11"/>
  <c r="K442" i="11" s="1"/>
  <c r="K460" i="11"/>
  <c r="O641" i="11"/>
  <c r="L15" i="12"/>
  <c r="M23" i="12"/>
  <c r="M21" i="12" s="1"/>
  <c r="I112" i="12"/>
  <c r="K112" i="12" s="1"/>
  <c r="K116" i="12"/>
  <c r="K144" i="12"/>
  <c r="P154" i="12"/>
  <c r="N152" i="12"/>
  <c r="P152" i="12" s="1"/>
  <c r="O189" i="12"/>
  <c r="L187" i="12"/>
  <c r="O187" i="12" s="1"/>
  <c r="O346" i="12"/>
  <c r="K647" i="9"/>
  <c r="L198" i="10"/>
  <c r="O198" i="10" s="1"/>
  <c r="L229" i="10"/>
  <c r="N300" i="10"/>
  <c r="N298" i="10" s="1"/>
  <c r="K355" i="10"/>
  <c r="N56" i="11"/>
  <c r="P56" i="11" s="1"/>
  <c r="P58" i="11"/>
  <c r="N90" i="11"/>
  <c r="N88" i="11" s="1"/>
  <c r="L121" i="11"/>
  <c r="I143" i="11"/>
  <c r="I131" i="11" s="1"/>
  <c r="L171" i="11"/>
  <c r="O171" i="11" s="1"/>
  <c r="O184" i="11"/>
  <c r="O186" i="11"/>
  <c r="I216" i="11"/>
  <c r="K216" i="11" s="1"/>
  <c r="L229" i="11"/>
  <c r="L231" i="11"/>
  <c r="I276" i="11"/>
  <c r="K276" i="11" s="1"/>
  <c r="P282" i="11"/>
  <c r="I314" i="11"/>
  <c r="K314" i="11" s="1"/>
  <c r="K378" i="11"/>
  <c r="K381" i="11"/>
  <c r="P410" i="11"/>
  <c r="K672" i="11"/>
  <c r="K823" i="11"/>
  <c r="M15" i="12"/>
  <c r="N23" i="12"/>
  <c r="L26" i="12"/>
  <c r="M47" i="12"/>
  <c r="P47" i="12" s="1"/>
  <c r="L122" i="12"/>
  <c r="O122" i="12" s="1"/>
  <c r="N134" i="12"/>
  <c r="N132" i="12" s="1"/>
  <c r="O170" i="12"/>
  <c r="L168" i="12"/>
  <c r="O168" i="12" s="1"/>
  <c r="L238" i="12"/>
  <c r="L264" i="12"/>
  <c r="O266" i="12"/>
  <c r="L267" i="12"/>
  <c r="O267" i="12" s="1"/>
  <c r="O269" i="12"/>
  <c r="M283" i="12"/>
  <c r="P283" i="12" s="1"/>
  <c r="P285" i="12"/>
  <c r="P446" i="12"/>
  <c r="M444" i="12"/>
  <c r="P444" i="12" s="1"/>
  <c r="N151" i="10"/>
  <c r="N149" i="10" s="1"/>
  <c r="L395" i="10"/>
  <c r="O395" i="10" s="1"/>
  <c r="O61" i="11"/>
  <c r="O93" i="11"/>
  <c r="J364" i="11"/>
  <c r="M30" i="12"/>
  <c r="P30" i="12" s="1"/>
  <c r="P32" i="12"/>
  <c r="L23" i="12"/>
  <c r="O96" i="12"/>
  <c r="P120" i="12"/>
  <c r="P150" i="12"/>
  <c r="O173" i="12"/>
  <c r="L171" i="12"/>
  <c r="O171" i="12" s="1"/>
  <c r="L33" i="11"/>
  <c r="L31" i="11" s="1"/>
  <c r="J722" i="11"/>
  <c r="K822" i="11"/>
  <c r="K828" i="11"/>
  <c r="P140" i="12"/>
  <c r="P166" i="12"/>
  <c r="I174" i="12"/>
  <c r="P182" i="12"/>
  <c r="N264" i="12"/>
  <c r="P264" i="12" s="1"/>
  <c r="N301" i="12"/>
  <c r="P301" i="12" s="1"/>
  <c r="P316" i="12"/>
  <c r="L318" i="12"/>
  <c r="O318" i="12" s="1"/>
  <c r="L321" i="12"/>
  <c r="O321" i="12" s="1"/>
  <c r="L334" i="12"/>
  <c r="O334" i="12" s="1"/>
  <c r="L351" i="12"/>
  <c r="O351" i="12" s="1"/>
  <c r="J355" i="12"/>
  <c r="K355" i="12" s="1"/>
  <c r="K385" i="12"/>
  <c r="M392" i="12"/>
  <c r="P392" i="12" s="1"/>
  <c r="N395" i="12"/>
  <c r="P407" i="12"/>
  <c r="O445" i="12"/>
  <c r="O449" i="12"/>
  <c r="L447" i="12"/>
  <c r="I442" i="12"/>
  <c r="K442" i="12" s="1"/>
  <c r="K460" i="12"/>
  <c r="O479" i="12"/>
  <c r="L477" i="12"/>
  <c r="O477" i="12" s="1"/>
  <c r="O806" i="12"/>
  <c r="L805" i="12"/>
  <c r="O805" i="12" s="1"/>
  <c r="O420" i="12"/>
  <c r="O690" i="12"/>
  <c r="L687" i="12"/>
  <c r="L688" i="12"/>
  <c r="O688" i="12" s="1"/>
  <c r="M331" i="12"/>
  <c r="K340" i="12"/>
  <c r="M348" i="12"/>
  <c r="P353" i="12"/>
  <c r="K365" i="12"/>
  <c r="M391" i="12"/>
  <c r="P391" i="12" s="1"/>
  <c r="O424" i="12"/>
  <c r="N444" i="12"/>
  <c r="N414" i="12" s="1"/>
  <c r="N447" i="12"/>
  <c r="L547" i="12"/>
  <c r="O547" i="12" s="1"/>
  <c r="O549" i="12"/>
  <c r="P657" i="12"/>
  <c r="M655" i="12"/>
  <c r="P655" i="12" s="1"/>
  <c r="K675" i="12"/>
  <c r="I654" i="12"/>
  <c r="K654" i="12" s="1"/>
  <c r="K674" i="12"/>
  <c r="K673" i="12"/>
  <c r="K669" i="12"/>
  <c r="K672" i="12"/>
  <c r="L330" i="12"/>
  <c r="L347" i="12"/>
  <c r="J593" i="12"/>
  <c r="O656" i="12"/>
  <c r="I237" i="12"/>
  <c r="M330" i="12"/>
  <c r="M347" i="12"/>
  <c r="P410" i="12"/>
  <c r="M414" i="12"/>
  <c r="P414" i="12" s="1"/>
  <c r="N422" i="12"/>
  <c r="P468" i="12"/>
  <c r="K651" i="12"/>
  <c r="N655" i="12"/>
  <c r="P524" i="12"/>
  <c r="O630" i="12"/>
  <c r="P686" i="12"/>
  <c r="P787" i="12"/>
  <c r="L632" i="12"/>
  <c r="O632" i="12" s="1"/>
  <c r="K539" i="12"/>
  <c r="N121" i="10"/>
  <c r="N119" i="10" s="1"/>
  <c r="O59" i="11"/>
  <c r="I364" i="5"/>
  <c r="M43" i="9"/>
  <c r="M41" i="9" s="1"/>
  <c r="I276" i="9"/>
  <c r="K276" i="9" s="1"/>
  <c r="N279" i="9"/>
  <c r="N277" i="9" s="1"/>
  <c r="M300" i="9"/>
  <c r="P300" i="9" s="1"/>
  <c r="L121" i="10"/>
  <c r="O121" i="10" s="1"/>
  <c r="L125" i="10"/>
  <c r="O125" i="10" s="1"/>
  <c r="N134" i="10"/>
  <c r="N132" i="10" s="1"/>
  <c r="O168" i="10"/>
  <c r="I216" i="10"/>
  <c r="K216" i="10" s="1"/>
  <c r="K362" i="10"/>
  <c r="N23" i="11"/>
  <c r="N21" i="11" s="1"/>
  <c r="L43" i="11"/>
  <c r="P61" i="11"/>
  <c r="L135" i="11"/>
  <c r="O135" i="11" s="1"/>
  <c r="P140" i="11"/>
  <c r="I148" i="11"/>
  <c r="K148" i="11" s="1"/>
  <c r="P154" i="11"/>
  <c r="P170" i="11"/>
  <c r="I174" i="11"/>
  <c r="L183" i="11"/>
  <c r="L217" i="11"/>
  <c r="O217" i="11" s="1"/>
  <c r="K244" i="11"/>
  <c r="N267" i="11"/>
  <c r="N301" i="11"/>
  <c r="P301" i="11" s="1"/>
  <c r="M304" i="11"/>
  <c r="P304" i="11" s="1"/>
  <c r="P320" i="11"/>
  <c r="L331" i="11"/>
  <c r="O331" i="11" s="1"/>
  <c r="P333" i="11"/>
  <c r="K340" i="11"/>
  <c r="K374" i="11"/>
  <c r="N391" i="11"/>
  <c r="N389" i="11" s="1"/>
  <c r="L408" i="11"/>
  <c r="O408" i="11" s="1"/>
  <c r="K370" i="7"/>
  <c r="L72" i="8"/>
  <c r="O72" i="8" s="1"/>
  <c r="L229" i="8"/>
  <c r="L421" i="9"/>
  <c r="O421" i="9" s="1"/>
  <c r="I112" i="10"/>
  <c r="K112" i="10" s="1"/>
  <c r="O186" i="10"/>
  <c r="L56" i="11"/>
  <c r="O91" i="11"/>
  <c r="I130" i="11"/>
  <c r="K130" i="11" s="1"/>
  <c r="P135" i="11"/>
  <c r="P152" i="11"/>
  <c r="M183" i="11"/>
  <c r="L238" i="11"/>
  <c r="O238" i="11" s="1"/>
  <c r="M263" i="11"/>
  <c r="P331" i="11"/>
  <c r="N330" i="11"/>
  <c r="N328" i="11" s="1"/>
  <c r="O350" i="11"/>
  <c r="K360" i="11"/>
  <c r="L404" i="11"/>
  <c r="O404" i="11" s="1"/>
  <c r="L446" i="11"/>
  <c r="L444" i="11" s="1"/>
  <c r="I592" i="11"/>
  <c r="K592" i="11" s="1"/>
  <c r="K827" i="11"/>
  <c r="M391" i="4"/>
  <c r="P391" i="4" s="1"/>
  <c r="K823" i="4"/>
  <c r="K826" i="4"/>
  <c r="L90" i="6"/>
  <c r="L88" i="6" s="1"/>
  <c r="M121" i="6"/>
  <c r="M119" i="6" s="1"/>
  <c r="L167" i="6"/>
  <c r="L165" i="6" s="1"/>
  <c r="M72" i="8"/>
  <c r="P72" i="8" s="1"/>
  <c r="N121" i="9"/>
  <c r="N119" i="9" s="1"/>
  <c r="L26" i="10"/>
  <c r="L24" i="10" s="1"/>
  <c r="L155" i="10"/>
  <c r="O155" i="10" s="1"/>
  <c r="N167" i="10"/>
  <c r="N165" i="10" s="1"/>
  <c r="M263" i="10"/>
  <c r="M261" i="10" s="1"/>
  <c r="M347" i="10"/>
  <c r="M345" i="10" s="1"/>
  <c r="N391" i="10"/>
  <c r="N389" i="10" s="1"/>
  <c r="I522" i="10"/>
  <c r="K522" i="10" s="1"/>
  <c r="K827" i="10"/>
  <c r="L55" i="11"/>
  <c r="P71" i="11"/>
  <c r="L94" i="11"/>
  <c r="O94" i="11" s="1"/>
  <c r="K87" i="11"/>
  <c r="L402" i="11"/>
  <c r="O402" i="11" s="1"/>
  <c r="L788" i="11"/>
  <c r="O788" i="11" s="1"/>
  <c r="K355" i="8"/>
  <c r="N263" i="10"/>
  <c r="M317" i="10"/>
  <c r="P317" i="10" s="1"/>
  <c r="M404" i="10"/>
  <c r="P404" i="10" s="1"/>
  <c r="L688" i="10"/>
  <c r="O688" i="10" s="1"/>
  <c r="P59" i="11"/>
  <c r="O264" i="11"/>
  <c r="M300" i="11"/>
  <c r="J433" i="11"/>
  <c r="J417" i="11" s="1"/>
  <c r="M263" i="7"/>
  <c r="M261" i="7" s="1"/>
  <c r="L171" i="9"/>
  <c r="O171" i="9" s="1"/>
  <c r="L187" i="9"/>
  <c r="O187" i="9" s="1"/>
  <c r="L429" i="9"/>
  <c r="O429" i="9" s="1"/>
  <c r="L279" i="10"/>
  <c r="L277" i="10" s="1"/>
  <c r="K370" i="10"/>
  <c r="I434" i="10"/>
  <c r="N26" i="11"/>
  <c r="N16" i="11" s="1"/>
  <c r="N14" i="11" s="1"/>
  <c r="L90" i="11"/>
  <c r="M264" i="11"/>
  <c r="P264" i="11" s="1"/>
  <c r="P303" i="11"/>
  <c r="J327" i="11"/>
  <c r="K327" i="11" s="1"/>
  <c r="N348" i="11"/>
  <c r="O348" i="11" s="1"/>
  <c r="M351" i="11"/>
  <c r="P351" i="11" s="1"/>
  <c r="K365" i="11"/>
  <c r="O350" i="10"/>
  <c r="N348" i="10"/>
  <c r="O348" i="10" s="1"/>
  <c r="L404" i="10"/>
  <c r="O404" i="10" s="1"/>
  <c r="L405" i="10"/>
  <c r="O405" i="10" s="1"/>
  <c r="M44" i="11"/>
  <c r="P44" i="11" s="1"/>
  <c r="M125" i="11"/>
  <c r="P125" i="11" s="1"/>
  <c r="M405" i="11"/>
  <c r="P405" i="11" s="1"/>
  <c r="P407" i="11"/>
  <c r="M404" i="11"/>
  <c r="I112" i="9"/>
  <c r="K112" i="9" s="1"/>
  <c r="M121" i="9"/>
  <c r="K360" i="9"/>
  <c r="K369" i="9"/>
  <c r="K372" i="9"/>
  <c r="K385" i="9"/>
  <c r="M72" i="10"/>
  <c r="P72" i="10" s="1"/>
  <c r="L94" i="10"/>
  <c r="O94" i="10" s="1"/>
  <c r="L167" i="10"/>
  <c r="L165" i="10" s="1"/>
  <c r="P285" i="10"/>
  <c r="M283" i="10"/>
  <c r="P283" i="10" s="1"/>
  <c r="L347" i="10"/>
  <c r="L345" i="10" s="1"/>
  <c r="L351" i="10"/>
  <c r="L26" i="11"/>
  <c r="L24" i="11" s="1"/>
  <c r="N34" i="11"/>
  <c r="M72" i="11"/>
  <c r="P72" i="11" s="1"/>
  <c r="K79" i="11"/>
  <c r="I77" i="11"/>
  <c r="O353" i="11"/>
  <c r="L351" i="11"/>
  <c r="O351" i="11" s="1"/>
  <c r="P755" i="11"/>
  <c r="M754" i="11"/>
  <c r="P754" i="11" s="1"/>
  <c r="N31" i="11"/>
  <c r="L47" i="11"/>
  <c r="O47" i="11" s="1"/>
  <c r="O49" i="11"/>
  <c r="N391" i="9"/>
  <c r="N389" i="9" s="1"/>
  <c r="P49" i="11"/>
  <c r="M26" i="11"/>
  <c r="P89" i="11"/>
  <c r="K225" i="11"/>
  <c r="L230" i="11"/>
  <c r="L318" i="8"/>
  <c r="O318" i="8" s="1"/>
  <c r="I364" i="8"/>
  <c r="L43" i="9"/>
  <c r="L41" i="9" s="1"/>
  <c r="I86" i="9"/>
  <c r="K86" i="9" s="1"/>
  <c r="L525" i="9"/>
  <c r="O525" i="9" s="1"/>
  <c r="K561" i="9"/>
  <c r="P46" i="10"/>
  <c r="L134" i="10"/>
  <c r="M279" i="10"/>
  <c r="M277" i="10" s="1"/>
  <c r="M280" i="10"/>
  <c r="P280" i="10" s="1"/>
  <c r="O320" i="10"/>
  <c r="L318" i="10"/>
  <c r="O318" i="10" s="1"/>
  <c r="I654" i="10"/>
  <c r="K654" i="10" s="1"/>
  <c r="K672" i="10"/>
  <c r="K669" i="10"/>
  <c r="K823" i="10"/>
  <c r="P22" i="11"/>
  <c r="M19" i="11"/>
  <c r="M12" i="11"/>
  <c r="L44" i="11"/>
  <c r="O44" i="11" s="1"/>
  <c r="L23" i="11"/>
  <c r="O46" i="11"/>
  <c r="J143" i="11"/>
  <c r="J131" i="11" s="1"/>
  <c r="K144" i="11"/>
  <c r="O150" i="11"/>
  <c r="K193" i="11"/>
  <c r="I190" i="11"/>
  <c r="K190" i="11" s="1"/>
  <c r="I174" i="10"/>
  <c r="K176" i="10"/>
  <c r="O660" i="10"/>
  <c r="L657" i="10"/>
  <c r="O657" i="10" s="1"/>
  <c r="P137" i="10"/>
  <c r="M134" i="10"/>
  <c r="M132" i="10" s="1"/>
  <c r="N19" i="11"/>
  <c r="N12" i="11"/>
  <c r="O42" i="11"/>
  <c r="O125" i="11"/>
  <c r="N300" i="9"/>
  <c r="N298" i="9" s="1"/>
  <c r="L69" i="11"/>
  <c r="O69" i="11" s="1"/>
  <c r="O71" i="11"/>
  <c r="M121" i="11"/>
  <c r="M119" i="11" s="1"/>
  <c r="L183" i="6"/>
  <c r="L181" i="6" s="1"/>
  <c r="L429" i="7"/>
  <c r="O429" i="7" s="1"/>
  <c r="N43" i="9"/>
  <c r="N41" i="9" s="1"/>
  <c r="P407" i="9"/>
  <c r="M68" i="10"/>
  <c r="M66" i="10" s="1"/>
  <c r="L91" i="10"/>
  <c r="O91" i="10" s="1"/>
  <c r="O173" i="10"/>
  <c r="L171" i="10"/>
  <c r="O171" i="10" s="1"/>
  <c r="N395" i="10"/>
  <c r="M47" i="11"/>
  <c r="P47" i="11" s="1"/>
  <c r="O67" i="11"/>
  <c r="L72" i="11"/>
  <c r="O72" i="11" s="1"/>
  <c r="O74" i="11"/>
  <c r="I86" i="11"/>
  <c r="K86" i="11" s="1"/>
  <c r="O120" i="11"/>
  <c r="N121" i="11"/>
  <c r="N119" i="11" s="1"/>
  <c r="K215" i="11"/>
  <c r="I208" i="11"/>
  <c r="K208" i="11" s="1"/>
  <c r="O269" i="11"/>
  <c r="L267" i="11"/>
  <c r="O267" i="11" s="1"/>
  <c r="N446" i="11"/>
  <c r="N33" i="11"/>
  <c r="N30" i="11" s="1"/>
  <c r="L555" i="11"/>
  <c r="O555" i="11" s="1"/>
  <c r="L546" i="11"/>
  <c r="O546" i="11" s="1"/>
  <c r="O557" i="11"/>
  <c r="L36" i="11"/>
  <c r="M23" i="11"/>
  <c r="P46" i="11"/>
  <c r="P150" i="11"/>
  <c r="K370" i="9"/>
  <c r="L90" i="10"/>
  <c r="L88" i="10" s="1"/>
  <c r="L395" i="4"/>
  <c r="O395" i="4" s="1"/>
  <c r="M321" i="9"/>
  <c r="P321" i="9" s="1"/>
  <c r="M334" i="9"/>
  <c r="P334" i="9" s="1"/>
  <c r="K379" i="9"/>
  <c r="L454" i="9"/>
  <c r="O454" i="9" s="1"/>
  <c r="O58" i="10"/>
  <c r="M69" i="10"/>
  <c r="P69" i="10" s="1"/>
  <c r="N90" i="10"/>
  <c r="K116" i="10"/>
  <c r="J722" i="10"/>
  <c r="N28" i="11"/>
  <c r="M69" i="11"/>
  <c r="P69" i="11" s="1"/>
  <c r="I76" i="11"/>
  <c r="K82" i="11"/>
  <c r="O154" i="11"/>
  <c r="L151" i="11"/>
  <c r="O151" i="11" s="1"/>
  <c r="O303" i="11"/>
  <c r="L300" i="11"/>
  <c r="N419" i="11"/>
  <c r="O424" i="11"/>
  <c r="L421" i="11"/>
  <c r="O421" i="11" s="1"/>
  <c r="L422" i="11"/>
  <c r="N447" i="11"/>
  <c r="N317" i="10"/>
  <c r="N315" i="10" s="1"/>
  <c r="K340" i="10"/>
  <c r="N347" i="10"/>
  <c r="K369" i="10"/>
  <c r="K372" i="10"/>
  <c r="J433" i="10"/>
  <c r="J417" i="10" s="1"/>
  <c r="L12" i="11"/>
  <c r="L19" i="11"/>
  <c r="M279" i="11"/>
  <c r="L280" i="11"/>
  <c r="O282" i="11"/>
  <c r="J288" i="11"/>
  <c r="J275" i="11" s="1"/>
  <c r="I275" i="11"/>
  <c r="N421" i="11"/>
  <c r="N422" i="11"/>
  <c r="N318" i="10"/>
  <c r="L789" i="10"/>
  <c r="O789" i="10" s="1"/>
  <c r="K824" i="10"/>
  <c r="M91" i="11"/>
  <c r="P91" i="11" s="1"/>
  <c r="K99" i="11"/>
  <c r="K255" i="11"/>
  <c r="I248" i="11"/>
  <c r="K248" i="11" s="1"/>
  <c r="I233" i="11"/>
  <c r="K233" i="11" s="1"/>
  <c r="L263" i="11"/>
  <c r="L261" i="11" s="1"/>
  <c r="L283" i="11"/>
  <c r="O283" i="11" s="1"/>
  <c r="O285" i="11"/>
  <c r="L304" i="11"/>
  <c r="O304" i="11" s="1"/>
  <c r="L334" i="11"/>
  <c r="O334" i="11" s="1"/>
  <c r="P346" i="11"/>
  <c r="K385" i="11"/>
  <c r="P394" i="11"/>
  <c r="M391" i="11"/>
  <c r="P555" i="11"/>
  <c r="M545" i="11"/>
  <c r="N632" i="11"/>
  <c r="O632" i="11" s="1"/>
  <c r="O634" i="11"/>
  <c r="N631" i="11"/>
  <c r="N629" i="11" s="1"/>
  <c r="M685" i="11"/>
  <c r="P685" i="11" s="1"/>
  <c r="J143" i="10"/>
  <c r="J131" i="10" s="1"/>
  <c r="L301" i="10"/>
  <c r="O301" i="10" s="1"/>
  <c r="L334" i="10"/>
  <c r="O334" i="10" s="1"/>
  <c r="I364" i="10"/>
  <c r="L391" i="10"/>
  <c r="O391" i="10" s="1"/>
  <c r="O278" i="11"/>
  <c r="P329" i="11"/>
  <c r="O479" i="11"/>
  <c r="L477" i="11"/>
  <c r="O477" i="11" s="1"/>
  <c r="L469" i="11"/>
  <c r="L467" i="11" s="1"/>
  <c r="O467" i="11" s="1"/>
  <c r="L267" i="10"/>
  <c r="O267" i="10" s="1"/>
  <c r="O280" i="10"/>
  <c r="K647" i="10"/>
  <c r="K828" i="10"/>
  <c r="M90" i="11"/>
  <c r="O127" i="11"/>
  <c r="N134" i="11"/>
  <c r="O137" i="11"/>
  <c r="L228" i="11"/>
  <c r="O262" i="11"/>
  <c r="M283" i="11"/>
  <c r="P283" i="11" s="1"/>
  <c r="N467" i="11"/>
  <c r="O472" i="11"/>
  <c r="N469" i="11"/>
  <c r="L533" i="11"/>
  <c r="O533" i="11" s="1"/>
  <c r="O535" i="11"/>
  <c r="L525" i="11"/>
  <c r="O525" i="11" s="1"/>
  <c r="O787" i="11"/>
  <c r="I785" i="11"/>
  <c r="K785" i="11" s="1"/>
  <c r="K800" i="11"/>
  <c r="P525" i="11"/>
  <c r="M523" i="11"/>
  <c r="P523" i="11" s="1"/>
  <c r="O657" i="11"/>
  <c r="L655" i="11"/>
  <c r="O655" i="11" s="1"/>
  <c r="O686" i="11"/>
  <c r="L330" i="11"/>
  <c r="L347" i="11"/>
  <c r="O431" i="11"/>
  <c r="J537" i="11"/>
  <c r="J522" i="11" s="1"/>
  <c r="K538" i="11"/>
  <c r="K594" i="11"/>
  <c r="K651" i="11"/>
  <c r="I628" i="11"/>
  <c r="K628" i="11" s="1"/>
  <c r="P738" i="11"/>
  <c r="M737" i="11"/>
  <c r="P737" i="11" s="1"/>
  <c r="O806" i="11"/>
  <c r="L805" i="11"/>
  <c r="O805" i="11" s="1"/>
  <c r="M330" i="11"/>
  <c r="M347" i="11"/>
  <c r="P419" i="11"/>
  <c r="O445" i="11"/>
  <c r="O468" i="11"/>
  <c r="O470" i="11"/>
  <c r="O524" i="11"/>
  <c r="O545" i="11"/>
  <c r="N547" i="11"/>
  <c r="O660" i="11"/>
  <c r="L658" i="11"/>
  <c r="O658" i="11" s="1"/>
  <c r="N685" i="11"/>
  <c r="I197" i="11"/>
  <c r="K197" i="11" s="1"/>
  <c r="I364" i="11"/>
  <c r="O420" i="11"/>
  <c r="O447" i="11"/>
  <c r="O449" i="11"/>
  <c r="N526" i="11"/>
  <c r="N544" i="11"/>
  <c r="J594" i="11"/>
  <c r="P630" i="11"/>
  <c r="M629" i="11"/>
  <c r="P629" i="11" s="1"/>
  <c r="P771" i="11"/>
  <c r="M770" i="11"/>
  <c r="P770" i="11" s="1"/>
  <c r="N805" i="11"/>
  <c r="O503" i="11"/>
  <c r="I654" i="11"/>
  <c r="K654" i="11" s="1"/>
  <c r="P656" i="11"/>
  <c r="K669" i="11"/>
  <c r="L687" i="11"/>
  <c r="O687" i="11" s="1"/>
  <c r="L263" i="7"/>
  <c r="L261" i="7" s="1"/>
  <c r="L231" i="9"/>
  <c r="O282" i="9"/>
  <c r="O397" i="9"/>
  <c r="N55" i="10"/>
  <c r="N53" i="10" s="1"/>
  <c r="I76" i="10"/>
  <c r="I64" i="10" s="1"/>
  <c r="K64" i="10" s="1"/>
  <c r="M90" i="10"/>
  <c r="L122" i="10"/>
  <c r="O122" i="10" s="1"/>
  <c r="L151" i="10"/>
  <c r="O151" i="10" s="1"/>
  <c r="O170" i="10"/>
  <c r="L183" i="10"/>
  <c r="O189" i="10"/>
  <c r="L263" i="10"/>
  <c r="K276" i="10"/>
  <c r="M300" i="10"/>
  <c r="M298" i="10" s="1"/>
  <c r="O323" i="10"/>
  <c r="O333" i="10"/>
  <c r="O394" i="10"/>
  <c r="O410" i="10"/>
  <c r="K673" i="10"/>
  <c r="L639" i="2"/>
  <c r="O639" i="2" s="1"/>
  <c r="L632" i="7"/>
  <c r="O632" i="7" s="1"/>
  <c r="P353" i="9"/>
  <c r="L555" i="9"/>
  <c r="O555" i="9" s="1"/>
  <c r="N68" i="10"/>
  <c r="N66" i="10" s="1"/>
  <c r="K80" i="10"/>
  <c r="N183" i="10"/>
  <c r="N181" i="10" s="1"/>
  <c r="I190" i="10"/>
  <c r="K190" i="10" s="1"/>
  <c r="L231" i="10"/>
  <c r="L330" i="10"/>
  <c r="K365" i="10"/>
  <c r="K378" i="10"/>
  <c r="K381" i="10"/>
  <c r="N404" i="10"/>
  <c r="N402" i="10" s="1"/>
  <c r="K674" i="10"/>
  <c r="K821" i="10"/>
  <c r="L347" i="7"/>
  <c r="L345" i="7" s="1"/>
  <c r="K821" i="7"/>
  <c r="O186" i="9"/>
  <c r="K355" i="9"/>
  <c r="L470" i="9"/>
  <c r="O470" i="9" s="1"/>
  <c r="L639" i="9"/>
  <c r="O639" i="9" s="1"/>
  <c r="N26" i="10"/>
  <c r="N16" i="10" s="1"/>
  <c r="N14" i="10" s="1"/>
  <c r="M43" i="10"/>
  <c r="M41" i="10" s="1"/>
  <c r="N56" i="10"/>
  <c r="O56" i="10" s="1"/>
  <c r="N125" i="10"/>
  <c r="K244" i="10"/>
  <c r="L304" i="10"/>
  <c r="O304" i="10" s="1"/>
  <c r="N351" i="10"/>
  <c r="O353" i="10"/>
  <c r="K359" i="10"/>
  <c r="K649" i="10"/>
  <c r="L231" i="5"/>
  <c r="M300" i="5"/>
  <c r="M298" i="5" s="1"/>
  <c r="M347" i="7"/>
  <c r="M345" i="7" s="1"/>
  <c r="M391" i="8"/>
  <c r="P391" i="8" s="1"/>
  <c r="P410" i="8"/>
  <c r="L55" i="9"/>
  <c r="L53" i="9" s="1"/>
  <c r="O61" i="9"/>
  <c r="K111" i="9"/>
  <c r="M134" i="9"/>
  <c r="N167" i="9"/>
  <c r="N165" i="9" s="1"/>
  <c r="L33" i="9"/>
  <c r="L31" i="9" s="1"/>
  <c r="L546" i="9"/>
  <c r="O546" i="9" s="1"/>
  <c r="J722" i="9"/>
  <c r="K824" i="9"/>
  <c r="M44" i="10"/>
  <c r="P44" i="10" s="1"/>
  <c r="L55" i="10"/>
  <c r="L59" i="10"/>
  <c r="O59" i="10" s="1"/>
  <c r="N94" i="10"/>
  <c r="I148" i="10"/>
  <c r="K148" i="10" s="1"/>
  <c r="L152" i="10"/>
  <c r="O152" i="10" s="1"/>
  <c r="N184" i="10"/>
  <c r="O184" i="10" s="1"/>
  <c r="L238" i="10"/>
  <c r="O238" i="10" s="1"/>
  <c r="I260" i="10"/>
  <c r="K260" i="10" s="1"/>
  <c r="L264" i="10"/>
  <c r="O264" i="10" s="1"/>
  <c r="K287" i="10"/>
  <c r="L300" i="10"/>
  <c r="L317" i="10"/>
  <c r="K360" i="10"/>
  <c r="K379" i="10"/>
  <c r="O407" i="10"/>
  <c r="I433" i="10"/>
  <c r="I417" i="10" s="1"/>
  <c r="K435" i="10"/>
  <c r="O549" i="10"/>
  <c r="K822" i="10"/>
  <c r="O46" i="6"/>
  <c r="I276" i="6"/>
  <c r="K276" i="6" s="1"/>
  <c r="M47" i="8"/>
  <c r="P47" i="8" s="1"/>
  <c r="I86" i="8"/>
  <c r="K86" i="8" s="1"/>
  <c r="L267" i="8"/>
  <c r="O267" i="8" s="1"/>
  <c r="O96" i="9"/>
  <c r="L125" i="9"/>
  <c r="O125" i="9" s="1"/>
  <c r="N183" i="9"/>
  <c r="N181" i="9" s="1"/>
  <c r="N330" i="9"/>
  <c r="N328" i="9" s="1"/>
  <c r="L526" i="9"/>
  <c r="O526" i="9" s="1"/>
  <c r="O528" i="9"/>
  <c r="L36" i="10"/>
  <c r="O36" i="10" s="1"/>
  <c r="M47" i="10"/>
  <c r="P47" i="10" s="1"/>
  <c r="L68" i="10"/>
  <c r="L66" i="10" s="1"/>
  <c r="I77" i="10"/>
  <c r="M135" i="10"/>
  <c r="P135" i="10" s="1"/>
  <c r="L209" i="10"/>
  <c r="O209" i="10" s="1"/>
  <c r="L230" i="10"/>
  <c r="K288" i="10"/>
  <c r="K385" i="10"/>
  <c r="O56" i="9"/>
  <c r="L198" i="9"/>
  <c r="O198" i="9" s="1"/>
  <c r="O32" i="10"/>
  <c r="L29" i="10"/>
  <c r="P42" i="10"/>
  <c r="M59" i="10"/>
  <c r="P59" i="10" s="1"/>
  <c r="P61" i="10"/>
  <c r="O166" i="10"/>
  <c r="P186" i="10"/>
  <c r="M184" i="10"/>
  <c r="K255" i="10"/>
  <c r="I248" i="10"/>
  <c r="I233" i="10"/>
  <c r="K233" i="10" s="1"/>
  <c r="M267" i="10"/>
  <c r="P267" i="10" s="1"/>
  <c r="P269" i="10"/>
  <c r="O403" i="10"/>
  <c r="O445" i="10"/>
  <c r="I785" i="10"/>
  <c r="K785" i="10" s="1"/>
  <c r="K800" i="10"/>
  <c r="O806" i="10"/>
  <c r="L805" i="10"/>
  <c r="O805" i="10" s="1"/>
  <c r="M300" i="7"/>
  <c r="P300" i="7" s="1"/>
  <c r="M330" i="7"/>
  <c r="M328" i="7" s="1"/>
  <c r="M135" i="8"/>
  <c r="P135" i="8" s="1"/>
  <c r="M151" i="8"/>
  <c r="M149" i="8" s="1"/>
  <c r="M183" i="8"/>
  <c r="N279" i="8"/>
  <c r="M317" i="8"/>
  <c r="P317" i="8" s="1"/>
  <c r="K365" i="8"/>
  <c r="K378" i="8"/>
  <c r="K647" i="8"/>
  <c r="P71" i="9"/>
  <c r="P137" i="9"/>
  <c r="M171" i="9"/>
  <c r="P171" i="9" s="1"/>
  <c r="N263" i="9"/>
  <c r="N261" i="9" s="1"/>
  <c r="O323" i="9"/>
  <c r="N347" i="9"/>
  <c r="N345" i="9" s="1"/>
  <c r="M351" i="9"/>
  <c r="P351" i="9" s="1"/>
  <c r="K359" i="9"/>
  <c r="M395" i="9"/>
  <c r="P395" i="9" s="1"/>
  <c r="I433" i="9"/>
  <c r="I417" i="9" s="1"/>
  <c r="K577" i="9"/>
  <c r="K827" i="9"/>
  <c r="L12" i="10"/>
  <c r="L19" i="10"/>
  <c r="M26" i="10"/>
  <c r="M24" i="10" s="1"/>
  <c r="O49" i="10"/>
  <c r="L47" i="10"/>
  <c r="O47" i="10" s="1"/>
  <c r="O54" i="10"/>
  <c r="P96" i="10"/>
  <c r="M94" i="10"/>
  <c r="P94" i="10" s="1"/>
  <c r="M122" i="10"/>
  <c r="P122" i="10" s="1"/>
  <c r="P124" i="10"/>
  <c r="I130" i="10"/>
  <c r="K130" i="10" s="1"/>
  <c r="P140" i="10"/>
  <c r="M152" i="10"/>
  <c r="P152" i="10" s="1"/>
  <c r="P154" i="10"/>
  <c r="I208" i="10"/>
  <c r="K208" i="10" s="1"/>
  <c r="O262" i="10"/>
  <c r="P282" i="10"/>
  <c r="N544" i="10"/>
  <c r="O787" i="10"/>
  <c r="L786" i="10"/>
  <c r="O786" i="10" s="1"/>
  <c r="N29" i="10"/>
  <c r="N28" i="10" s="1"/>
  <c r="N31" i="10"/>
  <c r="O89" i="10"/>
  <c r="K99" i="10"/>
  <c r="J87" i="10"/>
  <c r="K87" i="10" s="1"/>
  <c r="O137" i="10"/>
  <c r="L135" i="10"/>
  <c r="O135" i="10" s="1"/>
  <c r="P170" i="10"/>
  <c r="M168" i="10"/>
  <c r="P168" i="10" s="1"/>
  <c r="P189" i="10"/>
  <c r="M187" i="10"/>
  <c r="P187" i="10" s="1"/>
  <c r="L228" i="10"/>
  <c r="L249" i="10"/>
  <c r="O249" i="10" s="1"/>
  <c r="O299" i="10"/>
  <c r="J537" i="10"/>
  <c r="J522" i="10" s="1"/>
  <c r="K539" i="10"/>
  <c r="L391" i="5"/>
  <c r="O391" i="5" s="1"/>
  <c r="M151" i="6"/>
  <c r="M149" i="6" s="1"/>
  <c r="M300" i="6"/>
  <c r="M298" i="6" s="1"/>
  <c r="M167" i="8"/>
  <c r="M165" i="8" s="1"/>
  <c r="K379" i="8"/>
  <c r="L470" i="8"/>
  <c r="O470" i="8" s="1"/>
  <c r="L121" i="9"/>
  <c r="L119" i="9" s="1"/>
  <c r="L151" i="9"/>
  <c r="O151" i="9" s="1"/>
  <c r="L184" i="9"/>
  <c r="I233" i="9"/>
  <c r="K233" i="9" s="1"/>
  <c r="N334" i="9"/>
  <c r="N12" i="10"/>
  <c r="L23" i="10"/>
  <c r="M56" i="10"/>
  <c r="P58" i="10"/>
  <c r="O71" i="10"/>
  <c r="L69" i="10"/>
  <c r="O69" i="10" s="1"/>
  <c r="P133" i="10"/>
  <c r="M264" i="10"/>
  <c r="P264" i="10" s="1"/>
  <c r="P266" i="10"/>
  <c r="M301" i="10"/>
  <c r="P301" i="10" s="1"/>
  <c r="P303" i="10"/>
  <c r="M392" i="10"/>
  <c r="P392" i="10" s="1"/>
  <c r="P394" i="10"/>
  <c r="M391" i="10"/>
  <c r="L632" i="10"/>
  <c r="O632" i="10" s="1"/>
  <c r="O634" i="10"/>
  <c r="L631" i="10"/>
  <c r="L33" i="10"/>
  <c r="K701" i="4"/>
  <c r="I148" i="8"/>
  <c r="K148" i="8" s="1"/>
  <c r="K338" i="8"/>
  <c r="K822" i="8"/>
  <c r="K825" i="8"/>
  <c r="K828" i="8"/>
  <c r="O58" i="9"/>
  <c r="L122" i="9"/>
  <c r="O122" i="9" s="1"/>
  <c r="I148" i="9"/>
  <c r="K148" i="9" s="1"/>
  <c r="L155" i="9"/>
  <c r="O155" i="9" s="1"/>
  <c r="N151" i="9"/>
  <c r="N149" i="9" s="1"/>
  <c r="I248" i="9"/>
  <c r="K248" i="9" s="1"/>
  <c r="P285" i="9"/>
  <c r="L300" i="9"/>
  <c r="O300" i="9" s="1"/>
  <c r="L317" i="9"/>
  <c r="O317" i="9" s="1"/>
  <c r="K651" i="9"/>
  <c r="K828" i="9"/>
  <c r="M23" i="10"/>
  <c r="P33" i="10"/>
  <c r="M30" i="10"/>
  <c r="P30" i="10" s="1"/>
  <c r="P67" i="10"/>
  <c r="P93" i="10"/>
  <c r="M91" i="10"/>
  <c r="P91" i="10" s="1"/>
  <c r="K86" i="10"/>
  <c r="M125" i="10"/>
  <c r="P125" i="10" s="1"/>
  <c r="P127" i="10"/>
  <c r="O140" i="10"/>
  <c r="L138" i="10"/>
  <c r="O138" i="10" s="1"/>
  <c r="K145" i="10"/>
  <c r="I143" i="10"/>
  <c r="M155" i="10"/>
  <c r="P155" i="10" s="1"/>
  <c r="P157" i="10"/>
  <c r="M183" i="10"/>
  <c r="K204" i="10"/>
  <c r="I197" i="10"/>
  <c r="K197" i="10" s="1"/>
  <c r="N279" i="10"/>
  <c r="L477" i="10"/>
  <c r="O477" i="10" s="1"/>
  <c r="O479" i="10"/>
  <c r="L469" i="10"/>
  <c r="K647" i="6"/>
  <c r="P61" i="7"/>
  <c r="L217" i="8"/>
  <c r="O217" i="8" s="1"/>
  <c r="I443" i="8"/>
  <c r="K443" i="8" s="1"/>
  <c r="L26" i="9"/>
  <c r="L24" i="9" s="1"/>
  <c r="P140" i="9"/>
  <c r="N184" i="9"/>
  <c r="P184" i="9" s="1"/>
  <c r="L217" i="9"/>
  <c r="O217" i="9" s="1"/>
  <c r="L230" i="9"/>
  <c r="L301" i="9"/>
  <c r="O301" i="9" s="1"/>
  <c r="L304" i="9"/>
  <c r="O304" i="9" s="1"/>
  <c r="L318" i="9"/>
  <c r="O318" i="9" s="1"/>
  <c r="K378" i="9"/>
  <c r="K381" i="9"/>
  <c r="O407" i="9"/>
  <c r="M15" i="10"/>
  <c r="N23" i="10"/>
  <c r="M28" i="10"/>
  <c r="P28" i="10" s="1"/>
  <c r="P35" i="10"/>
  <c r="M34" i="10"/>
  <c r="P34" i="10" s="1"/>
  <c r="N43" i="10"/>
  <c r="O46" i="10"/>
  <c r="L44" i="10"/>
  <c r="O44" i="10" s="1"/>
  <c r="O74" i="10"/>
  <c r="L72" i="10"/>
  <c r="O72" i="10" s="1"/>
  <c r="O120" i="10"/>
  <c r="O150" i="10"/>
  <c r="M167" i="10"/>
  <c r="P173" i="10"/>
  <c r="M171" i="10"/>
  <c r="P171" i="10" s="1"/>
  <c r="O182" i="10"/>
  <c r="P278" i="10"/>
  <c r="N470" i="10"/>
  <c r="O470" i="10" s="1"/>
  <c r="O472" i="10"/>
  <c r="N469" i="10"/>
  <c r="N467" i="10" s="1"/>
  <c r="O282" i="10"/>
  <c r="O285" i="10"/>
  <c r="P306" i="10"/>
  <c r="I314" i="10"/>
  <c r="K314" i="10" s="1"/>
  <c r="M321" i="10"/>
  <c r="P321" i="10" s="1"/>
  <c r="P323" i="10"/>
  <c r="K374" i="10"/>
  <c r="P407" i="10"/>
  <c r="M405" i="10"/>
  <c r="P405" i="10" s="1"/>
  <c r="O524" i="10"/>
  <c r="K569" i="10"/>
  <c r="M334" i="10"/>
  <c r="P334" i="10" s="1"/>
  <c r="P336" i="10"/>
  <c r="M351" i="10"/>
  <c r="P353" i="10"/>
  <c r="O503" i="10"/>
  <c r="L502" i="10"/>
  <c r="O502" i="10" s="1"/>
  <c r="P755" i="10"/>
  <c r="M754" i="10"/>
  <c r="P754" i="10" s="1"/>
  <c r="O329" i="10"/>
  <c r="O346" i="10"/>
  <c r="M395" i="10"/>
  <c r="P395" i="10" s="1"/>
  <c r="P397" i="10"/>
  <c r="P410" i="10"/>
  <c r="M408" i="10"/>
  <c r="P408" i="10" s="1"/>
  <c r="M419" i="10"/>
  <c r="N523" i="10"/>
  <c r="N414" i="10" s="1"/>
  <c r="K561" i="10"/>
  <c r="I543" i="10"/>
  <c r="K543" i="10" s="1"/>
  <c r="K559" i="10"/>
  <c r="K628" i="10"/>
  <c r="P687" i="10"/>
  <c r="M685" i="10"/>
  <c r="P685" i="10" s="1"/>
  <c r="N789" i="10"/>
  <c r="I297" i="10"/>
  <c r="K297" i="10" s="1"/>
  <c r="P316" i="10"/>
  <c r="M318" i="10"/>
  <c r="P318" i="10" s="1"/>
  <c r="P320" i="10"/>
  <c r="J327" i="10"/>
  <c r="K327" i="10" s="1"/>
  <c r="O390" i="10"/>
  <c r="O420" i="10"/>
  <c r="O422" i="10"/>
  <c r="P468" i="10"/>
  <c r="M467" i="10"/>
  <c r="P467" i="10" s="1"/>
  <c r="O686" i="10"/>
  <c r="O331" i="10"/>
  <c r="M331" i="10"/>
  <c r="P331" i="10" s="1"/>
  <c r="P333" i="10"/>
  <c r="M348" i="10"/>
  <c r="P350" i="10"/>
  <c r="J364" i="10"/>
  <c r="M444" i="10"/>
  <c r="P444" i="10" s="1"/>
  <c r="K460" i="10"/>
  <c r="I442" i="10"/>
  <c r="K442" i="10" s="1"/>
  <c r="K466" i="10"/>
  <c r="P525" i="10"/>
  <c r="M523" i="10"/>
  <c r="P523" i="10" s="1"/>
  <c r="P738" i="10"/>
  <c r="M737" i="10"/>
  <c r="P737" i="10" s="1"/>
  <c r="P771" i="10"/>
  <c r="M770" i="10"/>
  <c r="P770" i="10" s="1"/>
  <c r="P788" i="10"/>
  <c r="M786" i="10"/>
  <c r="P786" i="10" s="1"/>
  <c r="P807" i="10"/>
  <c r="M805" i="10"/>
  <c r="P805" i="10" s="1"/>
  <c r="O545" i="10"/>
  <c r="L555" i="10"/>
  <c r="O555" i="10" s="1"/>
  <c r="P656" i="10"/>
  <c r="L658" i="10"/>
  <c r="O658" i="10" s="1"/>
  <c r="L429" i="10"/>
  <c r="O429" i="10" s="1"/>
  <c r="L454" i="10"/>
  <c r="O454" i="10" s="1"/>
  <c r="L533" i="10"/>
  <c r="O533" i="10" s="1"/>
  <c r="L546" i="10"/>
  <c r="O546" i="10" s="1"/>
  <c r="M629" i="10"/>
  <c r="P629" i="10" s="1"/>
  <c r="M502" i="10"/>
  <c r="P502" i="10" s="1"/>
  <c r="K576" i="10"/>
  <c r="K651" i="10"/>
  <c r="L421" i="10"/>
  <c r="O421" i="10" s="1"/>
  <c r="L446" i="10"/>
  <c r="O446" i="10" s="1"/>
  <c r="L525" i="10"/>
  <c r="O525" i="10" s="1"/>
  <c r="M545" i="10"/>
  <c r="N546" i="10"/>
  <c r="P56" i="9"/>
  <c r="I164" i="9"/>
  <c r="K164" i="9" s="1"/>
  <c r="K174" i="9"/>
  <c r="K360" i="6"/>
  <c r="K340" i="7"/>
  <c r="K651" i="7"/>
  <c r="K801" i="7"/>
  <c r="L167" i="8"/>
  <c r="M263" i="8"/>
  <c r="M261" i="8" s="1"/>
  <c r="K370" i="8"/>
  <c r="J721" i="8"/>
  <c r="K721" i="8" s="1"/>
  <c r="M55" i="9"/>
  <c r="P61" i="9"/>
  <c r="L90" i="9"/>
  <c r="L88" i="9" s="1"/>
  <c r="M132" i="9"/>
  <c r="N168" i="9"/>
  <c r="P168" i="9" s="1"/>
  <c r="P186" i="9"/>
  <c r="L238" i="9"/>
  <c r="O238" i="9" s="1"/>
  <c r="I260" i="9"/>
  <c r="K260" i="9" s="1"/>
  <c r="L263" i="9"/>
  <c r="L261" i="9" s="1"/>
  <c r="I275" i="9"/>
  <c r="K275" i="9" s="1"/>
  <c r="L279" i="9"/>
  <c r="N301" i="9"/>
  <c r="M318" i="9"/>
  <c r="P318" i="9" s="1"/>
  <c r="K340" i="9"/>
  <c r="K365" i="9"/>
  <c r="M392" i="9"/>
  <c r="P392" i="9" s="1"/>
  <c r="J433" i="9"/>
  <c r="J417" i="9" s="1"/>
  <c r="I443" i="9"/>
  <c r="K443" i="9" s="1"/>
  <c r="M264" i="7"/>
  <c r="P264" i="7" s="1"/>
  <c r="P269" i="7"/>
  <c r="M152" i="8"/>
  <c r="P152" i="8" s="1"/>
  <c r="M155" i="8"/>
  <c r="P155" i="8" s="1"/>
  <c r="L183" i="8"/>
  <c r="L181" i="8" s="1"/>
  <c r="P269" i="8"/>
  <c r="N55" i="9"/>
  <c r="N53" i="9" s="1"/>
  <c r="P58" i="9"/>
  <c r="L91" i="9"/>
  <c r="O91" i="9" s="1"/>
  <c r="M138" i="9"/>
  <c r="P138" i="9" s="1"/>
  <c r="O264" i="9"/>
  <c r="M279" i="9"/>
  <c r="P306" i="9"/>
  <c r="L404" i="9"/>
  <c r="O404" i="9" s="1"/>
  <c r="L408" i="9"/>
  <c r="O408" i="9" s="1"/>
  <c r="M280" i="9"/>
  <c r="P280" i="9" s="1"/>
  <c r="L90" i="8"/>
  <c r="L88" i="8" s="1"/>
  <c r="O124" i="8"/>
  <c r="L347" i="8"/>
  <c r="L345" i="8" s="1"/>
  <c r="M395" i="8"/>
  <c r="P395" i="8" s="1"/>
  <c r="N391" i="8"/>
  <c r="N389" i="8" s="1"/>
  <c r="M69" i="9"/>
  <c r="P69" i="9" s="1"/>
  <c r="I76" i="9"/>
  <c r="I143" i="9"/>
  <c r="K176" i="9"/>
  <c r="L183" i="9"/>
  <c r="L181" i="9" s="1"/>
  <c r="L267" i="9"/>
  <c r="O267" i="9" s="1"/>
  <c r="M317" i="9"/>
  <c r="P317" i="9" s="1"/>
  <c r="N404" i="9"/>
  <c r="N402" i="9" s="1"/>
  <c r="I216" i="7"/>
  <c r="K216" i="7" s="1"/>
  <c r="O282" i="7"/>
  <c r="M334" i="7"/>
  <c r="P334" i="7" s="1"/>
  <c r="L688" i="7"/>
  <c r="O688" i="7" s="1"/>
  <c r="N90" i="8"/>
  <c r="N88" i="8" s="1"/>
  <c r="O137" i="8"/>
  <c r="N183" i="8"/>
  <c r="N181" i="8" s="1"/>
  <c r="I233" i="8"/>
  <c r="K233" i="8" s="1"/>
  <c r="L230" i="8"/>
  <c r="M318" i="8"/>
  <c r="P318" i="8" s="1"/>
  <c r="L321" i="8"/>
  <c r="O321" i="8" s="1"/>
  <c r="N395" i="8"/>
  <c r="I559" i="8"/>
  <c r="I543" i="8" s="1"/>
  <c r="K543" i="8" s="1"/>
  <c r="N23" i="9"/>
  <c r="N21" i="9" s="1"/>
  <c r="L72" i="9"/>
  <c r="O72" i="9" s="1"/>
  <c r="N68" i="9"/>
  <c r="N66" i="9" s="1"/>
  <c r="J143" i="9"/>
  <c r="J131" i="9" s="1"/>
  <c r="L152" i="9"/>
  <c r="O152" i="9" s="1"/>
  <c r="M183" i="9"/>
  <c r="M181" i="9" s="1"/>
  <c r="K215" i="9"/>
  <c r="J288" i="9"/>
  <c r="J275" i="9" s="1"/>
  <c r="N317" i="9"/>
  <c r="N315" i="9" s="1"/>
  <c r="O336" i="9"/>
  <c r="O350" i="9"/>
  <c r="I628" i="9"/>
  <c r="K628" i="9" s="1"/>
  <c r="L788" i="9"/>
  <c r="K822" i="9"/>
  <c r="K370" i="5"/>
  <c r="L69" i="7"/>
  <c r="O69" i="7" s="1"/>
  <c r="M321" i="8"/>
  <c r="P321" i="8" s="1"/>
  <c r="K369" i="8"/>
  <c r="K385" i="8"/>
  <c r="L533" i="8"/>
  <c r="O533" i="8" s="1"/>
  <c r="K729" i="8"/>
  <c r="N90" i="9"/>
  <c r="L209" i="9"/>
  <c r="O209" i="9" s="1"/>
  <c r="O285" i="9"/>
  <c r="J364" i="9"/>
  <c r="K374" i="9"/>
  <c r="M391" i="9"/>
  <c r="P391" i="9" s="1"/>
  <c r="L658" i="9"/>
  <c r="O658" i="9" s="1"/>
  <c r="L90" i="7"/>
  <c r="L88" i="7" s="1"/>
  <c r="J288" i="7"/>
  <c r="K288" i="7" s="1"/>
  <c r="I275" i="7"/>
  <c r="P306" i="7"/>
  <c r="M304" i="7"/>
  <c r="P304" i="7" s="1"/>
  <c r="N44" i="8"/>
  <c r="P44" i="8" s="1"/>
  <c r="L279" i="8"/>
  <c r="L277" i="8" s="1"/>
  <c r="N15" i="9"/>
  <c r="M34" i="9"/>
  <c r="P34" i="9" s="1"/>
  <c r="M44" i="9"/>
  <c r="P44" i="9" s="1"/>
  <c r="M26" i="9"/>
  <c r="P49" i="9"/>
  <c r="O71" i="9"/>
  <c r="L69" i="9"/>
  <c r="O69" i="9" s="1"/>
  <c r="P350" i="9"/>
  <c r="M347" i="9"/>
  <c r="P186" i="5"/>
  <c r="K370" i="6"/>
  <c r="P91" i="7"/>
  <c r="P303" i="7"/>
  <c r="M301" i="7"/>
  <c r="P301" i="7" s="1"/>
  <c r="K435" i="7"/>
  <c r="I433" i="7"/>
  <c r="I417" i="7" s="1"/>
  <c r="N23" i="8"/>
  <c r="N21" i="8" s="1"/>
  <c r="P61" i="8"/>
  <c r="M59" i="8"/>
  <c r="P59" i="8" s="1"/>
  <c r="N330" i="8"/>
  <c r="N328" i="8" s="1"/>
  <c r="J327" i="8"/>
  <c r="K327" i="8" s="1"/>
  <c r="L408" i="8"/>
  <c r="O408" i="8" s="1"/>
  <c r="O410" i="8"/>
  <c r="L631" i="8"/>
  <c r="O631" i="8" s="1"/>
  <c r="M29" i="9"/>
  <c r="M47" i="9"/>
  <c r="P47" i="9" s="1"/>
  <c r="N26" i="9"/>
  <c r="N16" i="9" s="1"/>
  <c r="M68" i="9"/>
  <c r="L229" i="9"/>
  <c r="M348" i="9"/>
  <c r="P348" i="9" s="1"/>
  <c r="L351" i="9"/>
  <c r="O351" i="9" s="1"/>
  <c r="O353" i="9"/>
  <c r="L347" i="9"/>
  <c r="L345" i="9" s="1"/>
  <c r="N446" i="9"/>
  <c r="N447" i="9"/>
  <c r="K460" i="9"/>
  <c r="I442" i="9"/>
  <c r="K442" i="9" s="1"/>
  <c r="N351" i="7"/>
  <c r="P351" i="7" s="1"/>
  <c r="P353" i="7"/>
  <c r="P140" i="8"/>
  <c r="M138" i="8"/>
  <c r="P138" i="8" s="1"/>
  <c r="N168" i="8"/>
  <c r="O168" i="8" s="1"/>
  <c r="N167" i="8"/>
  <c r="N165" i="8" s="1"/>
  <c r="K325" i="8"/>
  <c r="I314" i="8"/>
  <c r="K314" i="8" s="1"/>
  <c r="L639" i="8"/>
  <c r="O639" i="8" s="1"/>
  <c r="O641" i="8"/>
  <c r="O67" i="9"/>
  <c r="P89" i="9"/>
  <c r="M94" i="9"/>
  <c r="P94" i="9" s="1"/>
  <c r="P96" i="9"/>
  <c r="M90" i="9"/>
  <c r="L331" i="9"/>
  <c r="O331" i="9" s="1"/>
  <c r="O333" i="9"/>
  <c r="L330" i="9"/>
  <c r="L328" i="9" s="1"/>
  <c r="N631" i="9"/>
  <c r="N632" i="9"/>
  <c r="K673" i="9"/>
  <c r="K669" i="9"/>
  <c r="K672" i="9"/>
  <c r="K675" i="9"/>
  <c r="I654" i="9"/>
  <c r="K654" i="9" s="1"/>
  <c r="K674" i="9"/>
  <c r="P787" i="9"/>
  <c r="M786" i="9"/>
  <c r="P786" i="9" s="1"/>
  <c r="O58" i="8"/>
  <c r="N55" i="8"/>
  <c r="K215" i="8"/>
  <c r="I208" i="8"/>
  <c r="K208" i="8" s="1"/>
  <c r="O140" i="9"/>
  <c r="L138" i="9"/>
  <c r="O138" i="9" s="1"/>
  <c r="K204" i="9"/>
  <c r="I197" i="9"/>
  <c r="K197" i="9" s="1"/>
  <c r="P333" i="9"/>
  <c r="M330" i="9"/>
  <c r="M331" i="9"/>
  <c r="P331" i="9" s="1"/>
  <c r="K338" i="9"/>
  <c r="J327" i="9"/>
  <c r="K327" i="9" s="1"/>
  <c r="I442" i="4"/>
  <c r="K442" i="4" s="1"/>
  <c r="M90" i="6"/>
  <c r="M88" i="6" s="1"/>
  <c r="L151" i="6"/>
  <c r="L149" i="6" s="1"/>
  <c r="L470" i="6"/>
  <c r="O470" i="6" s="1"/>
  <c r="P154" i="7"/>
  <c r="K338" i="7"/>
  <c r="L43" i="8"/>
  <c r="L41" i="8" s="1"/>
  <c r="M55" i="8"/>
  <c r="M53" i="8" s="1"/>
  <c r="P71" i="8"/>
  <c r="M280" i="8"/>
  <c r="M279" i="8"/>
  <c r="K823" i="8"/>
  <c r="K826" i="8"/>
  <c r="P22" i="9"/>
  <c r="M19" i="9"/>
  <c r="M12" i="9"/>
  <c r="O46" i="9"/>
  <c r="L44" i="9"/>
  <c r="O44" i="9" s="1"/>
  <c r="L23" i="9"/>
  <c r="M72" i="9"/>
  <c r="P72" i="9" s="1"/>
  <c r="O120" i="9"/>
  <c r="N135" i="9"/>
  <c r="P135" i="9" s="1"/>
  <c r="N134" i="9"/>
  <c r="P150" i="9"/>
  <c r="M155" i="9"/>
  <c r="P155" i="9" s="1"/>
  <c r="P157" i="9"/>
  <c r="M151" i="9"/>
  <c r="P151" i="9" s="1"/>
  <c r="O170" i="9"/>
  <c r="L167" i="9"/>
  <c r="I190" i="9"/>
  <c r="K190" i="9" s="1"/>
  <c r="K224" i="9"/>
  <c r="I216" i="9"/>
  <c r="K216" i="9" s="1"/>
  <c r="O262" i="9"/>
  <c r="M267" i="9"/>
  <c r="P267" i="9" s="1"/>
  <c r="P269" i="9"/>
  <c r="M263" i="9"/>
  <c r="K325" i="9"/>
  <c r="I314" i="9"/>
  <c r="K314" i="9" s="1"/>
  <c r="M502" i="9"/>
  <c r="P502" i="9" s="1"/>
  <c r="P503" i="9"/>
  <c r="L263" i="5"/>
  <c r="L261" i="5" s="1"/>
  <c r="M330" i="5"/>
  <c r="M328" i="5" s="1"/>
  <c r="K355" i="6"/>
  <c r="O46" i="7"/>
  <c r="M395" i="7"/>
  <c r="P395" i="7" s="1"/>
  <c r="M391" i="7"/>
  <c r="P391" i="7" s="1"/>
  <c r="N69" i="8"/>
  <c r="N68" i="8"/>
  <c r="N66" i="8" s="1"/>
  <c r="L152" i="8"/>
  <c r="O152" i="8" s="1"/>
  <c r="L151" i="8"/>
  <c r="L149" i="8" s="1"/>
  <c r="L155" i="8"/>
  <c r="O155" i="8" s="1"/>
  <c r="O157" i="8"/>
  <c r="M15" i="9"/>
  <c r="N19" i="9"/>
  <c r="N12" i="9"/>
  <c r="O42" i="9"/>
  <c r="M23" i="9"/>
  <c r="P46" i="9"/>
  <c r="O49" i="9"/>
  <c r="L47" i="9"/>
  <c r="O47" i="9" s="1"/>
  <c r="I87" i="9"/>
  <c r="K87" i="9" s="1"/>
  <c r="P170" i="9"/>
  <c r="M167" i="9"/>
  <c r="L228" i="9"/>
  <c r="L249" i="9"/>
  <c r="O249" i="9" s="1"/>
  <c r="K309" i="9"/>
  <c r="I297" i="9"/>
  <c r="K297" i="9" s="1"/>
  <c r="M408" i="9"/>
  <c r="P408" i="9" s="1"/>
  <c r="P410" i="9"/>
  <c r="M404" i="9"/>
  <c r="L477" i="9"/>
  <c r="O477" i="9" s="1"/>
  <c r="O479" i="9"/>
  <c r="L469" i="9"/>
  <c r="L36" i="9"/>
  <c r="K374" i="8"/>
  <c r="M122" i="9"/>
  <c r="P122" i="9" s="1"/>
  <c r="P124" i="9"/>
  <c r="O137" i="9"/>
  <c r="O166" i="9"/>
  <c r="L392" i="9"/>
  <c r="O392" i="9" s="1"/>
  <c r="O394" i="9"/>
  <c r="L391" i="9"/>
  <c r="O391" i="9" s="1"/>
  <c r="N421" i="9"/>
  <c r="N422" i="9"/>
  <c r="I434" i="9"/>
  <c r="K438" i="9"/>
  <c r="P686" i="9"/>
  <c r="M685" i="9"/>
  <c r="P685" i="9" s="1"/>
  <c r="P806" i="9"/>
  <c r="M805" i="9"/>
  <c r="P805" i="9" s="1"/>
  <c r="P46" i="8"/>
  <c r="O71" i="8"/>
  <c r="I190" i="8"/>
  <c r="K190" i="8" s="1"/>
  <c r="L198" i="8"/>
  <c r="O198" i="8" s="1"/>
  <c r="N347" i="8"/>
  <c r="N345" i="8" s="1"/>
  <c r="K360" i="8"/>
  <c r="O456" i="8"/>
  <c r="K701" i="8"/>
  <c r="K723" i="8"/>
  <c r="I77" i="9"/>
  <c r="K82" i="9"/>
  <c r="K115" i="9"/>
  <c r="I130" i="9"/>
  <c r="K130" i="9" s="1"/>
  <c r="L135" i="9"/>
  <c r="O266" i="9"/>
  <c r="O524" i="9"/>
  <c r="K559" i="9"/>
  <c r="J543" i="9"/>
  <c r="P755" i="9"/>
  <c r="M754" i="9"/>
  <c r="P754" i="9" s="1"/>
  <c r="P446" i="9"/>
  <c r="M444" i="9"/>
  <c r="P444" i="9" s="1"/>
  <c r="P631" i="9"/>
  <c r="M629" i="9"/>
  <c r="P629" i="9" s="1"/>
  <c r="J721" i="7"/>
  <c r="N134" i="8"/>
  <c r="N132" i="8" s="1"/>
  <c r="I216" i="8"/>
  <c r="K216" i="8" s="1"/>
  <c r="O266" i="8"/>
  <c r="K560" i="8"/>
  <c r="K674" i="8"/>
  <c r="L12" i="9"/>
  <c r="L19" i="9"/>
  <c r="M91" i="9"/>
  <c r="P91" i="9" s="1"/>
  <c r="P93" i="9"/>
  <c r="M125" i="9"/>
  <c r="P125" i="9" s="1"/>
  <c r="P127" i="9"/>
  <c r="M152" i="9"/>
  <c r="P152" i="9" s="1"/>
  <c r="P154" i="9"/>
  <c r="O182" i="9"/>
  <c r="M301" i="9"/>
  <c r="P301" i="9" s="1"/>
  <c r="P303" i="9"/>
  <c r="M655" i="9"/>
  <c r="P655" i="9" s="1"/>
  <c r="P657" i="9"/>
  <c r="N737" i="9"/>
  <c r="N138" i="8"/>
  <c r="P266" i="8"/>
  <c r="K340" i="8"/>
  <c r="P350" i="8"/>
  <c r="P353" i="8"/>
  <c r="K359" i="8"/>
  <c r="K381" i="8"/>
  <c r="L446" i="8"/>
  <c r="L444" i="8" s="1"/>
  <c r="O444" i="8" s="1"/>
  <c r="J722" i="8"/>
  <c r="K722" i="8" s="1"/>
  <c r="N33" i="9"/>
  <c r="N30" i="9" s="1"/>
  <c r="N28" i="9" s="1"/>
  <c r="M264" i="9"/>
  <c r="P264" i="9" s="1"/>
  <c r="P266" i="9"/>
  <c r="P316" i="9"/>
  <c r="O329" i="9"/>
  <c r="O403" i="9"/>
  <c r="K543" i="9"/>
  <c r="O656" i="9"/>
  <c r="K362" i="9"/>
  <c r="N419" i="9"/>
  <c r="O445" i="9"/>
  <c r="L447" i="9"/>
  <c r="O447" i="9" s="1"/>
  <c r="O449" i="9"/>
  <c r="P524" i="9"/>
  <c r="M523" i="9"/>
  <c r="P523" i="9" s="1"/>
  <c r="O630" i="9"/>
  <c r="L632" i="9"/>
  <c r="O632" i="9" s="1"/>
  <c r="O634" i="9"/>
  <c r="N805" i="9"/>
  <c r="K821" i="9"/>
  <c r="M419" i="9"/>
  <c r="N444" i="9"/>
  <c r="K466" i="9"/>
  <c r="O549" i="9"/>
  <c r="L547" i="9"/>
  <c r="O547" i="9" s="1"/>
  <c r="K576" i="9"/>
  <c r="N629" i="9"/>
  <c r="J593" i="9"/>
  <c r="I785" i="9"/>
  <c r="K785" i="9" s="1"/>
  <c r="K800" i="9"/>
  <c r="O346" i="9"/>
  <c r="O348" i="9"/>
  <c r="O390" i="9"/>
  <c r="O420" i="9"/>
  <c r="L422" i="9"/>
  <c r="O422" i="9" s="1"/>
  <c r="O424" i="9"/>
  <c r="L446" i="9"/>
  <c r="O446" i="9" s="1"/>
  <c r="P468" i="9"/>
  <c r="K537" i="9"/>
  <c r="K560" i="9"/>
  <c r="L631" i="9"/>
  <c r="O631" i="9" s="1"/>
  <c r="M737" i="9"/>
  <c r="P737" i="9" s="1"/>
  <c r="K823" i="9"/>
  <c r="J537" i="9"/>
  <c r="J522" i="9" s="1"/>
  <c r="L688" i="9"/>
  <c r="O688" i="9" s="1"/>
  <c r="L687" i="9"/>
  <c r="O687" i="9" s="1"/>
  <c r="K143" i="8"/>
  <c r="I131" i="8"/>
  <c r="K131" i="8" s="1"/>
  <c r="M155" i="6"/>
  <c r="P155" i="6" s="1"/>
  <c r="L657" i="6"/>
  <c r="L655" i="6" s="1"/>
  <c r="O655" i="6" s="1"/>
  <c r="L94" i="7"/>
  <c r="O94" i="7" s="1"/>
  <c r="M125" i="7"/>
  <c r="P125" i="7" s="1"/>
  <c r="I130" i="7"/>
  <c r="K130" i="7" s="1"/>
  <c r="I190" i="7"/>
  <c r="K190" i="7" s="1"/>
  <c r="L334" i="7"/>
  <c r="O334" i="7" s="1"/>
  <c r="O394" i="7"/>
  <c r="L68" i="8"/>
  <c r="I87" i="8"/>
  <c r="K87" i="8" s="1"/>
  <c r="M121" i="8"/>
  <c r="M125" i="8"/>
  <c r="P125" i="8" s="1"/>
  <c r="J143" i="8"/>
  <c r="J131" i="8" s="1"/>
  <c r="L238" i="8"/>
  <c r="O238" i="8" s="1"/>
  <c r="M283" i="8"/>
  <c r="P283" i="8" s="1"/>
  <c r="M300" i="8"/>
  <c r="M298" i="8" s="1"/>
  <c r="P306" i="8"/>
  <c r="M351" i="8"/>
  <c r="P351" i="8" s="1"/>
  <c r="J364" i="8"/>
  <c r="M404" i="8"/>
  <c r="P407" i="8"/>
  <c r="I433" i="8"/>
  <c r="N43" i="4"/>
  <c r="N41" i="4" s="1"/>
  <c r="M263" i="5"/>
  <c r="M261" i="5" s="1"/>
  <c r="P91" i="6"/>
  <c r="O280" i="6"/>
  <c r="L546" i="6"/>
  <c r="O546" i="6" s="1"/>
  <c r="N43" i="7"/>
  <c r="N41" i="7" s="1"/>
  <c r="M167" i="7"/>
  <c r="M165" i="7" s="1"/>
  <c r="N279" i="7"/>
  <c r="K362" i="7"/>
  <c r="O49" i="8"/>
  <c r="L55" i="8"/>
  <c r="L53" i="8" s="1"/>
  <c r="M68" i="8"/>
  <c r="O91" i="8"/>
  <c r="N121" i="8"/>
  <c r="N119" i="8" s="1"/>
  <c r="O154" i="8"/>
  <c r="L209" i="8"/>
  <c r="O209" i="8" s="1"/>
  <c r="I248" i="8"/>
  <c r="K248" i="8" s="1"/>
  <c r="L263" i="8"/>
  <c r="L261" i="8" s="1"/>
  <c r="N300" i="8"/>
  <c r="N298" i="8" s="1"/>
  <c r="O303" i="8"/>
  <c r="L317" i="8"/>
  <c r="M330" i="8"/>
  <c r="M328" i="8" s="1"/>
  <c r="P333" i="8"/>
  <c r="M347" i="8"/>
  <c r="K362" i="8"/>
  <c r="K372" i="8"/>
  <c r="N404" i="8"/>
  <c r="N402" i="8" s="1"/>
  <c r="J433" i="8"/>
  <c r="J417" i="8" s="1"/>
  <c r="O557" i="8"/>
  <c r="K621" i="8"/>
  <c r="P91" i="8"/>
  <c r="M90" i="8"/>
  <c r="M88" i="8" s="1"/>
  <c r="P301" i="8"/>
  <c r="L655" i="8"/>
  <c r="L347" i="5"/>
  <c r="L345" i="5" s="1"/>
  <c r="N90" i="6"/>
  <c r="N88" i="6" s="1"/>
  <c r="L134" i="6"/>
  <c r="L132" i="6" s="1"/>
  <c r="L555" i="7"/>
  <c r="O555" i="7" s="1"/>
  <c r="L789" i="7"/>
  <c r="L69" i="8"/>
  <c r="M122" i="8"/>
  <c r="P122" i="8" s="1"/>
  <c r="L134" i="8"/>
  <c r="O134" i="8" s="1"/>
  <c r="L231" i="8"/>
  <c r="N263" i="8"/>
  <c r="J288" i="8"/>
  <c r="O301" i="8"/>
  <c r="M334" i="8"/>
  <c r="P334" i="8" s="1"/>
  <c r="J721" i="3"/>
  <c r="K721" i="3" s="1"/>
  <c r="M304" i="5"/>
  <c r="P304" i="5" s="1"/>
  <c r="N391" i="5"/>
  <c r="N389" i="5" s="1"/>
  <c r="M317" i="6"/>
  <c r="M315" i="6" s="1"/>
  <c r="N330" i="6"/>
  <c r="N328" i="6" s="1"/>
  <c r="L555" i="6"/>
  <c r="O555" i="6" s="1"/>
  <c r="M90" i="7"/>
  <c r="M88" i="7" s="1"/>
  <c r="L134" i="7"/>
  <c r="O134" i="7" s="1"/>
  <c r="O184" i="7"/>
  <c r="L187" i="7"/>
  <c r="O187" i="7" s="1"/>
  <c r="K309" i="7"/>
  <c r="M43" i="8"/>
  <c r="O46" i="8"/>
  <c r="M69" i="8"/>
  <c r="P96" i="8"/>
  <c r="I112" i="8"/>
  <c r="K112" i="8" s="1"/>
  <c r="M134" i="8"/>
  <c r="K145" i="8"/>
  <c r="N151" i="8"/>
  <c r="P303" i="8"/>
  <c r="M348" i="8"/>
  <c r="P348" i="8" s="1"/>
  <c r="L391" i="8"/>
  <c r="L389" i="8" s="1"/>
  <c r="O389" i="8" s="1"/>
  <c r="L405" i="8"/>
  <c r="O405" i="8" s="1"/>
  <c r="O431" i="8"/>
  <c r="I522" i="8"/>
  <c r="K522" i="8" s="1"/>
  <c r="L525" i="8"/>
  <c r="O525" i="8" s="1"/>
  <c r="K651" i="8"/>
  <c r="O660" i="8"/>
  <c r="L231" i="6"/>
  <c r="O285" i="6"/>
  <c r="N317" i="6"/>
  <c r="N315" i="6" s="1"/>
  <c r="M392" i="6"/>
  <c r="P392" i="6" s="1"/>
  <c r="I87" i="7"/>
  <c r="K87" i="7" s="1"/>
  <c r="P189" i="7"/>
  <c r="M317" i="7"/>
  <c r="P317" i="7" s="1"/>
  <c r="M392" i="7"/>
  <c r="P392" i="7" s="1"/>
  <c r="N404" i="7"/>
  <c r="N402" i="7" s="1"/>
  <c r="L421" i="7"/>
  <c r="L419" i="7" s="1"/>
  <c r="O419" i="7" s="1"/>
  <c r="L631" i="7"/>
  <c r="O631" i="7" s="1"/>
  <c r="L658" i="7"/>
  <c r="O658" i="7" s="1"/>
  <c r="L36" i="8"/>
  <c r="O36" i="8" s="1"/>
  <c r="L121" i="8"/>
  <c r="L119" i="8" s="1"/>
  <c r="O119" i="8" s="1"/>
  <c r="M23" i="8"/>
  <c r="L264" i="8"/>
  <c r="O264" i="8" s="1"/>
  <c r="L280" i="8"/>
  <c r="P282" i="8"/>
  <c r="L300" i="8"/>
  <c r="L304" i="8"/>
  <c r="O304" i="8" s="1"/>
  <c r="M392" i="8"/>
  <c r="P392" i="8" s="1"/>
  <c r="L404" i="8"/>
  <c r="O404" i="8" s="1"/>
  <c r="J537" i="8"/>
  <c r="J522" i="8" s="1"/>
  <c r="L546" i="8"/>
  <c r="K649" i="8"/>
  <c r="K725" i="8"/>
  <c r="L788" i="8"/>
  <c r="O788" i="8" s="1"/>
  <c r="P12" i="8"/>
  <c r="K826" i="5"/>
  <c r="N347" i="6"/>
  <c r="N345" i="6" s="1"/>
  <c r="P44" i="7"/>
  <c r="M55" i="7"/>
  <c r="M53" i="7" s="1"/>
  <c r="O74" i="7"/>
  <c r="M94" i="7"/>
  <c r="P94" i="7" s="1"/>
  <c r="L121" i="7"/>
  <c r="O121" i="7" s="1"/>
  <c r="P168" i="7"/>
  <c r="L183" i="7"/>
  <c r="L181" i="7" s="1"/>
  <c r="I208" i="7"/>
  <c r="K208" i="7" s="1"/>
  <c r="L283" i="7"/>
  <c r="O283" i="7" s="1"/>
  <c r="K378" i="7"/>
  <c r="K374" i="7"/>
  <c r="N391" i="7"/>
  <c r="N389" i="7" s="1"/>
  <c r="K466" i="7"/>
  <c r="L469" i="7"/>
  <c r="L467" i="7" s="1"/>
  <c r="I522" i="7"/>
  <c r="K522" i="7" s="1"/>
  <c r="K621" i="7"/>
  <c r="K647" i="7"/>
  <c r="L687" i="7"/>
  <c r="O687" i="7" s="1"/>
  <c r="J722" i="7"/>
  <c r="K825" i="7"/>
  <c r="K828" i="7"/>
  <c r="M19" i="8"/>
  <c r="M30" i="8"/>
  <c r="P30" i="8" s="1"/>
  <c r="L23" i="8"/>
  <c r="L21" i="8" s="1"/>
  <c r="O61" i="8"/>
  <c r="I76" i="8"/>
  <c r="O140" i="8"/>
  <c r="K174" i="8"/>
  <c r="I276" i="8"/>
  <c r="K276" i="8" s="1"/>
  <c r="K287" i="8"/>
  <c r="O787" i="8"/>
  <c r="O166" i="8"/>
  <c r="L44" i="7"/>
  <c r="O44" i="7" s="1"/>
  <c r="P96" i="7"/>
  <c r="M151" i="7"/>
  <c r="L151" i="7"/>
  <c r="L149" i="7" s="1"/>
  <c r="P173" i="7"/>
  <c r="P186" i="7"/>
  <c r="L230" i="7"/>
  <c r="I364" i="7"/>
  <c r="L395" i="7"/>
  <c r="O395" i="7" s="1"/>
  <c r="M408" i="7"/>
  <c r="P408" i="7" s="1"/>
  <c r="I442" i="7"/>
  <c r="K442" i="7" s="1"/>
  <c r="I628" i="7"/>
  <c r="K628" i="7" s="1"/>
  <c r="N30" i="8"/>
  <c r="N28" i="8" s="1"/>
  <c r="I130" i="8"/>
  <c r="K130" i="8" s="1"/>
  <c r="K146" i="8"/>
  <c r="L422" i="8"/>
  <c r="O422" i="8" s="1"/>
  <c r="O424" i="8"/>
  <c r="L421" i="8"/>
  <c r="O421" i="8" s="1"/>
  <c r="L33" i="8"/>
  <c r="P687" i="8"/>
  <c r="M685" i="8"/>
  <c r="P685" i="8" s="1"/>
  <c r="P738" i="8"/>
  <c r="M737" i="8"/>
  <c r="P737" i="8" s="1"/>
  <c r="P771" i="8"/>
  <c r="M770" i="8"/>
  <c r="P770" i="8" s="1"/>
  <c r="L331" i="8"/>
  <c r="O331" i="8" s="1"/>
  <c r="O333" i="8"/>
  <c r="L330" i="8"/>
  <c r="J327" i="6"/>
  <c r="K327" i="6" s="1"/>
  <c r="L347" i="6"/>
  <c r="L345" i="6" s="1"/>
  <c r="O394" i="6"/>
  <c r="N68" i="7"/>
  <c r="N66" i="7" s="1"/>
  <c r="N151" i="7"/>
  <c r="N149" i="7" s="1"/>
  <c r="L279" i="7"/>
  <c r="L277" i="7" s="1"/>
  <c r="L330" i="7"/>
  <c r="L328" i="7" s="1"/>
  <c r="J327" i="7"/>
  <c r="K327" i="7" s="1"/>
  <c r="I434" i="7"/>
  <c r="K434" i="7" s="1"/>
  <c r="K823" i="7"/>
  <c r="O22" i="8"/>
  <c r="L19" i="8"/>
  <c r="L12" i="8"/>
  <c r="L29" i="8"/>
  <c r="N56" i="8"/>
  <c r="P58" i="8"/>
  <c r="I77" i="8"/>
  <c r="O184" i="8"/>
  <c r="J226" i="8"/>
  <c r="J180" i="8" s="1"/>
  <c r="M187" i="6"/>
  <c r="P187" i="6" s="1"/>
  <c r="L317" i="6"/>
  <c r="L315" i="6" s="1"/>
  <c r="P333" i="6"/>
  <c r="M404" i="6"/>
  <c r="P404" i="6" s="1"/>
  <c r="I314" i="7"/>
  <c r="K314" i="7" s="1"/>
  <c r="L33" i="7"/>
  <c r="L31" i="7" s="1"/>
  <c r="M28" i="8"/>
  <c r="P28" i="8" s="1"/>
  <c r="M94" i="8"/>
  <c r="P94" i="8" s="1"/>
  <c r="M26" i="8"/>
  <c r="M24" i="8" s="1"/>
  <c r="M168" i="8"/>
  <c r="P170" i="8"/>
  <c r="M171" i="8"/>
  <c r="P171" i="8" s="1"/>
  <c r="P173" i="8"/>
  <c r="M184" i="8"/>
  <c r="P184" i="8" s="1"/>
  <c r="P186" i="8"/>
  <c r="M187" i="8"/>
  <c r="P187" i="8" s="1"/>
  <c r="P189" i="8"/>
  <c r="K204" i="8"/>
  <c r="I197" i="8"/>
  <c r="K197" i="8" s="1"/>
  <c r="K271" i="8"/>
  <c r="I260" i="8"/>
  <c r="K260" i="8" s="1"/>
  <c r="O182" i="8"/>
  <c r="O524" i="8"/>
  <c r="L36" i="6"/>
  <c r="O36" i="6" s="1"/>
  <c r="I148" i="6"/>
  <c r="K148" i="6" s="1"/>
  <c r="M152" i="6"/>
  <c r="P152" i="6" s="1"/>
  <c r="L209" i="7"/>
  <c r="O209" i="7" s="1"/>
  <c r="L280" i="7"/>
  <c r="O280" i="7" s="1"/>
  <c r="M318" i="7"/>
  <c r="P318" i="7" s="1"/>
  <c r="P323" i="7"/>
  <c r="K355" i="7"/>
  <c r="K385" i="7"/>
  <c r="J433" i="7"/>
  <c r="J417" i="7" s="1"/>
  <c r="K649" i="7"/>
  <c r="K824" i="7"/>
  <c r="K827" i="7"/>
  <c r="M15" i="8"/>
  <c r="M9" i="8" s="1"/>
  <c r="N26" i="8"/>
  <c r="M34" i="8"/>
  <c r="P34" i="8" s="1"/>
  <c r="L26" i="8"/>
  <c r="P93" i="8"/>
  <c r="O127" i="8"/>
  <c r="L228" i="8"/>
  <c r="L249" i="8"/>
  <c r="O249" i="8" s="1"/>
  <c r="P154" i="8"/>
  <c r="L334" i="8"/>
  <c r="O334" i="8" s="1"/>
  <c r="O336" i="8"/>
  <c r="N526" i="8"/>
  <c r="N789" i="8"/>
  <c r="O93" i="8"/>
  <c r="O96" i="8"/>
  <c r="O170" i="8"/>
  <c r="O173" i="8"/>
  <c r="K176" i="8"/>
  <c r="O186" i="8"/>
  <c r="O189" i="8"/>
  <c r="I237" i="8"/>
  <c r="P264" i="8"/>
  <c r="O329" i="8"/>
  <c r="M331" i="8"/>
  <c r="P331" i="8" s="1"/>
  <c r="L348" i="8"/>
  <c r="O348" i="8" s="1"/>
  <c r="O350" i="8"/>
  <c r="K561" i="8"/>
  <c r="O686" i="8"/>
  <c r="L447" i="8"/>
  <c r="O447" i="8" s="1"/>
  <c r="O449" i="8"/>
  <c r="L477" i="8"/>
  <c r="O477" i="8" s="1"/>
  <c r="O479" i="8"/>
  <c r="L469" i="8"/>
  <c r="L632" i="8"/>
  <c r="O632" i="8" s="1"/>
  <c r="O634" i="8"/>
  <c r="P755" i="8"/>
  <c r="M754" i="8"/>
  <c r="P754" i="8" s="1"/>
  <c r="I785" i="8"/>
  <c r="K785" i="8" s="1"/>
  <c r="K800" i="8"/>
  <c r="O806" i="8"/>
  <c r="L805" i="8"/>
  <c r="O805" i="8" s="1"/>
  <c r="L283" i="8"/>
  <c r="O283" i="8" s="1"/>
  <c r="I297" i="8"/>
  <c r="K297" i="8" s="1"/>
  <c r="L351" i="8"/>
  <c r="O351" i="8" s="1"/>
  <c r="O353" i="8"/>
  <c r="L392" i="8"/>
  <c r="O392" i="8" s="1"/>
  <c r="O394" i="8"/>
  <c r="K577" i="8"/>
  <c r="J592" i="8"/>
  <c r="K592" i="8" s="1"/>
  <c r="K593" i="8"/>
  <c r="K628" i="8"/>
  <c r="N754" i="8"/>
  <c r="N317" i="8"/>
  <c r="N315" i="8" s="1"/>
  <c r="L395" i="8"/>
  <c r="O395" i="8" s="1"/>
  <c r="O397" i="8"/>
  <c r="I434" i="8"/>
  <c r="K438" i="8"/>
  <c r="P525" i="8"/>
  <c r="M523" i="8"/>
  <c r="P523" i="8" s="1"/>
  <c r="P788" i="8"/>
  <c r="M786" i="8"/>
  <c r="P786" i="8" s="1"/>
  <c r="O528" i="8"/>
  <c r="I654" i="8"/>
  <c r="K654" i="8" s="1"/>
  <c r="O791" i="8"/>
  <c r="N280" i="8"/>
  <c r="I442" i="8"/>
  <c r="K442" i="8" s="1"/>
  <c r="L547" i="8"/>
  <c r="O547" i="8" s="1"/>
  <c r="K675" i="8"/>
  <c r="M805" i="8"/>
  <c r="P805" i="8" s="1"/>
  <c r="N657" i="8"/>
  <c r="K672" i="8"/>
  <c r="L688" i="8"/>
  <c r="O688" i="8" s="1"/>
  <c r="K669" i="8"/>
  <c r="L687" i="8"/>
  <c r="O687" i="8" s="1"/>
  <c r="I77" i="5"/>
  <c r="K77" i="5" s="1"/>
  <c r="L446" i="5"/>
  <c r="O446" i="5" s="1"/>
  <c r="N23" i="7"/>
  <c r="N21" i="7" s="1"/>
  <c r="I76" i="7"/>
  <c r="I64" i="7" s="1"/>
  <c r="K64" i="7" s="1"/>
  <c r="N121" i="7"/>
  <c r="N119" i="7" s="1"/>
  <c r="N134" i="7"/>
  <c r="N132" i="7" s="1"/>
  <c r="J143" i="7"/>
  <c r="J131" i="7" s="1"/>
  <c r="K148" i="7"/>
  <c r="M183" i="7"/>
  <c r="M181" i="7" s="1"/>
  <c r="N263" i="7"/>
  <c r="N261" i="7" s="1"/>
  <c r="N317" i="7"/>
  <c r="N315" i="7" s="1"/>
  <c r="N330" i="7"/>
  <c r="N347" i="7"/>
  <c r="K672" i="7"/>
  <c r="M347" i="5"/>
  <c r="M345" i="5" s="1"/>
  <c r="M391" i="5"/>
  <c r="P391" i="5" s="1"/>
  <c r="L55" i="6"/>
  <c r="L53" i="6" s="1"/>
  <c r="P59" i="6"/>
  <c r="K215" i="6"/>
  <c r="L228" i="6"/>
  <c r="I297" i="6"/>
  <c r="K297" i="6" s="1"/>
  <c r="P348" i="6"/>
  <c r="K700" i="6"/>
  <c r="L36" i="7"/>
  <c r="O36" i="7" s="1"/>
  <c r="N56" i="7"/>
  <c r="P56" i="7" s="1"/>
  <c r="M59" i="7"/>
  <c r="P59" i="7" s="1"/>
  <c r="N26" i="7"/>
  <c r="N24" i="7" s="1"/>
  <c r="M122" i="7"/>
  <c r="P122" i="7" s="1"/>
  <c r="K144" i="7"/>
  <c r="M171" i="7"/>
  <c r="P171" i="7" s="1"/>
  <c r="N183" i="7"/>
  <c r="L198" i="7"/>
  <c r="O198" i="7" s="1"/>
  <c r="K271" i="7"/>
  <c r="K360" i="7"/>
  <c r="K369" i="7"/>
  <c r="J364" i="7"/>
  <c r="M405" i="7"/>
  <c r="P405" i="7" s="1"/>
  <c r="K674" i="7"/>
  <c r="K822" i="7"/>
  <c r="M155" i="4"/>
  <c r="P155" i="4" s="1"/>
  <c r="L230" i="4"/>
  <c r="M94" i="5"/>
  <c r="P94" i="5" s="1"/>
  <c r="L264" i="5"/>
  <c r="L267" i="5"/>
  <c r="O267" i="5" s="1"/>
  <c r="L283" i="5"/>
  <c r="O283" i="5" s="1"/>
  <c r="L238" i="6"/>
  <c r="O238" i="6" s="1"/>
  <c r="I248" i="6"/>
  <c r="K248" i="6" s="1"/>
  <c r="O264" i="6"/>
  <c r="M318" i="6"/>
  <c r="M321" i="6"/>
  <c r="P321" i="6" s="1"/>
  <c r="L658" i="6"/>
  <c r="O658" i="6" s="1"/>
  <c r="O137" i="7"/>
  <c r="K159" i="7"/>
  <c r="L167" i="7"/>
  <c r="L165" i="7" s="1"/>
  <c r="M184" i="7"/>
  <c r="P184" i="7" s="1"/>
  <c r="P266" i="7"/>
  <c r="I276" i="7"/>
  <c r="K276" i="7" s="1"/>
  <c r="P320" i="7"/>
  <c r="M331" i="7"/>
  <c r="P331" i="7" s="1"/>
  <c r="P333" i="7"/>
  <c r="M348" i="7"/>
  <c r="P348" i="7" s="1"/>
  <c r="P350" i="7"/>
  <c r="K379" i="7"/>
  <c r="L422" i="7"/>
  <c r="K568" i="7"/>
  <c r="I654" i="7"/>
  <c r="K654" i="7" s="1"/>
  <c r="K675" i="7"/>
  <c r="O96" i="5"/>
  <c r="I208" i="5"/>
  <c r="K208" i="5" s="1"/>
  <c r="L657" i="5"/>
  <c r="O657" i="5" s="1"/>
  <c r="M94" i="6"/>
  <c r="P94" i="6" s="1"/>
  <c r="M334" i="6"/>
  <c r="P334" i="6" s="1"/>
  <c r="M391" i="6"/>
  <c r="P391" i="6" s="1"/>
  <c r="L405" i="6"/>
  <c r="O405" i="6" s="1"/>
  <c r="M23" i="7"/>
  <c r="M13" i="7" s="1"/>
  <c r="M11" i="7" s="1"/>
  <c r="L43" i="7"/>
  <c r="L55" i="7"/>
  <c r="L53" i="7" s="1"/>
  <c r="L68" i="7"/>
  <c r="O68" i="7" s="1"/>
  <c r="L91" i="7"/>
  <c r="O91" i="7" s="1"/>
  <c r="L138" i="7"/>
  <c r="O138" i="7" s="1"/>
  <c r="P152" i="7"/>
  <c r="L238" i="7"/>
  <c r="O238" i="7" s="1"/>
  <c r="K260" i="7"/>
  <c r="L300" i="7"/>
  <c r="K359" i="7"/>
  <c r="L391" i="7"/>
  <c r="L404" i="7"/>
  <c r="K560" i="7"/>
  <c r="L657" i="7"/>
  <c r="K823" i="3"/>
  <c r="K826" i="3"/>
  <c r="I130" i="6"/>
  <c r="K130" i="6" s="1"/>
  <c r="P186" i="6"/>
  <c r="P303" i="6"/>
  <c r="I364" i="6"/>
  <c r="N391" i="6"/>
  <c r="N389" i="6" s="1"/>
  <c r="L408" i="6"/>
  <c r="O408" i="6" s="1"/>
  <c r="J433" i="6"/>
  <c r="J417" i="6" s="1"/>
  <c r="M43" i="7"/>
  <c r="P58" i="7"/>
  <c r="M68" i="7"/>
  <c r="P68" i="7" s="1"/>
  <c r="I86" i="7"/>
  <c r="K86" i="7" s="1"/>
  <c r="O168" i="7"/>
  <c r="L217" i="7"/>
  <c r="O217" i="7" s="1"/>
  <c r="L231" i="7"/>
  <c r="M404" i="7"/>
  <c r="P404" i="7" s="1"/>
  <c r="L546" i="7"/>
  <c r="O546" i="7" s="1"/>
  <c r="K577" i="7"/>
  <c r="J785" i="7"/>
  <c r="K826" i="7"/>
  <c r="N9" i="7"/>
  <c r="I174" i="7"/>
  <c r="K176" i="7"/>
  <c r="O323" i="7"/>
  <c r="L321" i="7"/>
  <c r="O321" i="7" s="1"/>
  <c r="O331" i="7"/>
  <c r="O348" i="7"/>
  <c r="O791" i="7"/>
  <c r="N788" i="7"/>
  <c r="O788" i="7" s="1"/>
  <c r="N789" i="7"/>
  <c r="K381" i="4"/>
  <c r="L47" i="5"/>
  <c r="O47" i="5" s="1"/>
  <c r="P59" i="5"/>
  <c r="O140" i="6"/>
  <c r="L209" i="6"/>
  <c r="O209" i="6" s="1"/>
  <c r="I216" i="6"/>
  <c r="K216" i="6" s="1"/>
  <c r="L230" i="6"/>
  <c r="J275" i="6"/>
  <c r="M301" i="6"/>
  <c r="P301" i="6" s="1"/>
  <c r="M331" i="6"/>
  <c r="P331" i="6" s="1"/>
  <c r="N351" i="6"/>
  <c r="P351" i="6" s="1"/>
  <c r="K379" i="6"/>
  <c r="L525" i="6"/>
  <c r="L523" i="6" s="1"/>
  <c r="J722" i="6"/>
  <c r="K822" i="6"/>
  <c r="K825" i="6"/>
  <c r="K828" i="6"/>
  <c r="O22" i="7"/>
  <c r="L19" i="7"/>
  <c r="P25" i="7"/>
  <c r="M15" i="7"/>
  <c r="M9" i="7" s="1"/>
  <c r="P46" i="7"/>
  <c r="O61" i="7"/>
  <c r="L59" i="7"/>
  <c r="O59" i="7" s="1"/>
  <c r="P71" i="7"/>
  <c r="K80" i="7"/>
  <c r="P93" i="7"/>
  <c r="M121" i="7"/>
  <c r="P121" i="7" s="1"/>
  <c r="O157" i="7"/>
  <c r="L155" i="7"/>
  <c r="O155" i="7" s="1"/>
  <c r="P170" i="7"/>
  <c r="P403" i="7"/>
  <c r="M47" i="5"/>
  <c r="P47" i="5" s="1"/>
  <c r="N121" i="5"/>
  <c r="N119" i="5" s="1"/>
  <c r="M321" i="5"/>
  <c r="P321" i="5" s="1"/>
  <c r="M392" i="5"/>
  <c r="P392" i="5" s="1"/>
  <c r="M395" i="5"/>
  <c r="P395" i="5" s="1"/>
  <c r="M122" i="6"/>
  <c r="P122" i="6" s="1"/>
  <c r="P124" i="6"/>
  <c r="K577" i="6"/>
  <c r="L788" i="6"/>
  <c r="L786" i="6" s="1"/>
  <c r="M47" i="7"/>
  <c r="P47" i="7" s="1"/>
  <c r="M26" i="7"/>
  <c r="O124" i="7"/>
  <c r="L122" i="7"/>
  <c r="O122" i="7" s="1"/>
  <c r="M134" i="7"/>
  <c r="I233" i="7"/>
  <c r="K233" i="7" s="1"/>
  <c r="K244" i="7"/>
  <c r="I237" i="7"/>
  <c r="O266" i="7"/>
  <c r="L264" i="7"/>
  <c r="O264" i="7" s="1"/>
  <c r="N301" i="7"/>
  <c r="N300" i="7"/>
  <c r="N298" i="7" s="1"/>
  <c r="L317" i="7"/>
  <c r="K365" i="7"/>
  <c r="L229" i="5"/>
  <c r="L330" i="5"/>
  <c r="L328" i="5" s="1"/>
  <c r="I442" i="5"/>
  <c r="K442" i="5" s="1"/>
  <c r="J721" i="5"/>
  <c r="M55" i="6"/>
  <c r="M53" i="6" s="1"/>
  <c r="L69" i="6"/>
  <c r="O69" i="6" s="1"/>
  <c r="O137" i="6"/>
  <c r="N134" i="6"/>
  <c r="P168" i="6"/>
  <c r="I233" i="6"/>
  <c r="K233" i="6" s="1"/>
  <c r="P266" i="6"/>
  <c r="M279" i="6"/>
  <c r="M277" i="6" s="1"/>
  <c r="N279" i="6"/>
  <c r="N277" i="6" s="1"/>
  <c r="O336" i="6"/>
  <c r="M347" i="6"/>
  <c r="K369" i="6"/>
  <c r="K372" i="6"/>
  <c r="O431" i="6"/>
  <c r="K435" i="6"/>
  <c r="K569" i="6"/>
  <c r="K823" i="6"/>
  <c r="K826" i="6"/>
  <c r="M30" i="7"/>
  <c r="P30" i="7" s="1"/>
  <c r="N33" i="7"/>
  <c r="O35" i="7"/>
  <c r="O42" i="7"/>
  <c r="N55" i="7"/>
  <c r="O67" i="7"/>
  <c r="N90" i="7"/>
  <c r="K111" i="7"/>
  <c r="I112" i="7"/>
  <c r="K112" i="7" s="1"/>
  <c r="K115" i="7"/>
  <c r="P137" i="7"/>
  <c r="N167" i="7"/>
  <c r="L228" i="7"/>
  <c r="M280" i="7"/>
  <c r="P280" i="7" s="1"/>
  <c r="P282" i="7"/>
  <c r="M279" i="7"/>
  <c r="L55" i="5"/>
  <c r="L53" i="5" s="1"/>
  <c r="L238" i="5"/>
  <c r="O238" i="5" s="1"/>
  <c r="I197" i="6"/>
  <c r="K197" i="6" s="1"/>
  <c r="O301" i="6"/>
  <c r="L26" i="7"/>
  <c r="P32" i="7"/>
  <c r="M29" i="7"/>
  <c r="P54" i="7"/>
  <c r="O58" i="7"/>
  <c r="L56" i="7"/>
  <c r="O93" i="7"/>
  <c r="O127" i="7"/>
  <c r="L125" i="7"/>
  <c r="O125" i="7" s="1"/>
  <c r="M138" i="7"/>
  <c r="P138" i="7" s="1"/>
  <c r="P140" i="7"/>
  <c r="P166" i="7"/>
  <c r="O170" i="7"/>
  <c r="L249" i="7"/>
  <c r="O249" i="7" s="1"/>
  <c r="O269" i="7"/>
  <c r="L267" i="7"/>
  <c r="O267" i="7" s="1"/>
  <c r="P278" i="7"/>
  <c r="K369" i="4"/>
  <c r="K338" i="5"/>
  <c r="I592" i="5"/>
  <c r="K592" i="5" s="1"/>
  <c r="K822" i="5"/>
  <c r="K825" i="5"/>
  <c r="M43" i="6"/>
  <c r="M41" i="6" s="1"/>
  <c r="N55" i="6"/>
  <c r="N53" i="6" s="1"/>
  <c r="L121" i="6"/>
  <c r="L119" i="6" s="1"/>
  <c r="I260" i="6"/>
  <c r="K260" i="6" s="1"/>
  <c r="M263" i="6"/>
  <c r="M261" i="6" s="1"/>
  <c r="M267" i="6"/>
  <c r="P267" i="6" s="1"/>
  <c r="L300" i="6"/>
  <c r="L298" i="6" s="1"/>
  <c r="O331" i="6"/>
  <c r="O350" i="6"/>
  <c r="P353" i="6"/>
  <c r="K359" i="6"/>
  <c r="K378" i="6"/>
  <c r="L391" i="6"/>
  <c r="O391" i="6" s="1"/>
  <c r="M395" i="6"/>
  <c r="P395" i="6" s="1"/>
  <c r="I443" i="6"/>
  <c r="K443" i="6" s="1"/>
  <c r="L446" i="6"/>
  <c r="J721" i="6"/>
  <c r="O791" i="6"/>
  <c r="J785" i="6"/>
  <c r="K821" i="6"/>
  <c r="K824" i="6"/>
  <c r="K827" i="6"/>
  <c r="L15" i="7"/>
  <c r="L23" i="7"/>
  <c r="L21" i="7" s="1"/>
  <c r="L29" i="7"/>
  <c r="P49" i="7"/>
  <c r="P74" i="7"/>
  <c r="K79" i="7"/>
  <c r="I77" i="7"/>
  <c r="O120" i="7"/>
  <c r="O133" i="7"/>
  <c r="O154" i="7"/>
  <c r="L152" i="7"/>
  <c r="O152" i="7" s="1"/>
  <c r="P182" i="7"/>
  <c r="O186" i="7"/>
  <c r="L229" i="7"/>
  <c r="P120" i="7"/>
  <c r="P150" i="7"/>
  <c r="P262" i="7"/>
  <c r="K381" i="7"/>
  <c r="N422" i="7"/>
  <c r="O424" i="7"/>
  <c r="N421" i="7"/>
  <c r="N419" i="7" s="1"/>
  <c r="O472" i="7"/>
  <c r="L470" i="7"/>
  <c r="J537" i="7"/>
  <c r="J522" i="7" s="1"/>
  <c r="N786" i="7"/>
  <c r="O479" i="7"/>
  <c r="L477" i="7"/>
  <c r="O477" i="7" s="1"/>
  <c r="O524" i="7"/>
  <c r="P755" i="7"/>
  <c r="M754" i="7"/>
  <c r="P754" i="7" s="1"/>
  <c r="P299" i="7"/>
  <c r="N469" i="7"/>
  <c r="N467" i="7" s="1"/>
  <c r="N470" i="7"/>
  <c r="M523" i="7"/>
  <c r="P523" i="7" s="1"/>
  <c r="O686" i="7"/>
  <c r="I143" i="7"/>
  <c r="I248" i="7"/>
  <c r="K248" i="7" s="1"/>
  <c r="O320" i="7"/>
  <c r="L318" i="7"/>
  <c r="O318" i="7" s="1"/>
  <c r="N544" i="7"/>
  <c r="J559" i="7"/>
  <c r="K576" i="7"/>
  <c r="K803" i="7"/>
  <c r="I785" i="7"/>
  <c r="K372" i="7"/>
  <c r="J593" i="7"/>
  <c r="N685" i="7"/>
  <c r="P738" i="7"/>
  <c r="M737" i="7"/>
  <c r="P737" i="7" s="1"/>
  <c r="P771" i="7"/>
  <c r="M770" i="7"/>
  <c r="P770" i="7" s="1"/>
  <c r="O787" i="7"/>
  <c r="L786" i="7"/>
  <c r="N805" i="7"/>
  <c r="O333" i="7"/>
  <c r="O350" i="7"/>
  <c r="O353" i="7"/>
  <c r="M419" i="7"/>
  <c r="O449" i="7"/>
  <c r="O456" i="7"/>
  <c r="K462" i="7"/>
  <c r="L525" i="7"/>
  <c r="O525" i="7" s="1"/>
  <c r="O535" i="7"/>
  <c r="K538" i="7"/>
  <c r="O549" i="7"/>
  <c r="M655" i="7"/>
  <c r="P655" i="7" s="1"/>
  <c r="K669" i="7"/>
  <c r="L805" i="7"/>
  <c r="O805" i="7" s="1"/>
  <c r="P285" i="7"/>
  <c r="O303" i="7"/>
  <c r="O306" i="7"/>
  <c r="O407" i="7"/>
  <c r="O410" i="7"/>
  <c r="N505" i="7"/>
  <c r="L446" i="7"/>
  <c r="O446" i="7" s="1"/>
  <c r="P56" i="4"/>
  <c r="O449" i="4"/>
  <c r="K593" i="4"/>
  <c r="O44" i="5"/>
  <c r="P124" i="5"/>
  <c r="P154" i="5"/>
  <c r="L249" i="5"/>
  <c r="O249" i="5" s="1"/>
  <c r="N43" i="6"/>
  <c r="N41" i="6" s="1"/>
  <c r="L68" i="6"/>
  <c r="O68" i="6" s="1"/>
  <c r="O74" i="6"/>
  <c r="M134" i="6"/>
  <c r="M132" i="6" s="1"/>
  <c r="J143" i="6"/>
  <c r="J131" i="6" s="1"/>
  <c r="K131" i="6" s="1"/>
  <c r="M167" i="6"/>
  <c r="M165" i="6" s="1"/>
  <c r="K193" i="6"/>
  <c r="M264" i="6"/>
  <c r="P264" i="6" s="1"/>
  <c r="O282" i="6"/>
  <c r="N404" i="6"/>
  <c r="N402" i="6" s="1"/>
  <c r="L421" i="6"/>
  <c r="O421" i="6" s="1"/>
  <c r="K822" i="4"/>
  <c r="M264" i="5"/>
  <c r="M301" i="5"/>
  <c r="P301" i="5" s="1"/>
  <c r="P303" i="5"/>
  <c r="P353" i="5"/>
  <c r="K359" i="5"/>
  <c r="K362" i="5"/>
  <c r="K379" i="5"/>
  <c r="K823" i="5"/>
  <c r="M56" i="6"/>
  <c r="P56" i="6" s="1"/>
  <c r="N68" i="6"/>
  <c r="N66" i="6" s="1"/>
  <c r="I76" i="6"/>
  <c r="I64" i="6" s="1"/>
  <c r="K64" i="6" s="1"/>
  <c r="K99" i="6"/>
  <c r="L135" i="6"/>
  <c r="O135" i="6" s="1"/>
  <c r="M171" i="6"/>
  <c r="P171" i="6" s="1"/>
  <c r="L217" i="6"/>
  <c r="O217" i="6" s="1"/>
  <c r="L229" i="6"/>
  <c r="L249" i="6"/>
  <c r="O249" i="6" s="1"/>
  <c r="L279" i="6"/>
  <c r="M304" i="6"/>
  <c r="P304" i="6" s="1"/>
  <c r="M330" i="6"/>
  <c r="K374" i="6"/>
  <c r="K381" i="6"/>
  <c r="K649" i="6"/>
  <c r="K801" i="6"/>
  <c r="K190" i="6"/>
  <c r="N167" i="5"/>
  <c r="N165" i="5" s="1"/>
  <c r="I276" i="5"/>
  <c r="K276" i="5" s="1"/>
  <c r="J364" i="5"/>
  <c r="N44" i="6"/>
  <c r="O44" i="6" s="1"/>
  <c r="P125" i="6"/>
  <c r="K338" i="6"/>
  <c r="K620" i="6"/>
  <c r="M55" i="3"/>
  <c r="M53" i="3" s="1"/>
  <c r="M279" i="3"/>
  <c r="M277" i="3" s="1"/>
  <c r="O170" i="4"/>
  <c r="O56" i="5"/>
  <c r="L59" i="5"/>
  <c r="O59" i="5" s="1"/>
  <c r="N347" i="5"/>
  <c r="N345" i="5" s="1"/>
  <c r="K381" i="5"/>
  <c r="K824" i="5"/>
  <c r="L43" i="6"/>
  <c r="L47" i="6"/>
  <c r="O47" i="6" s="1"/>
  <c r="N138" i="6"/>
  <c r="O138" i="6" s="1"/>
  <c r="K145" i="6"/>
  <c r="M183" i="6"/>
  <c r="M181" i="6" s="1"/>
  <c r="L263" i="6"/>
  <c r="L261" i="6" s="1"/>
  <c r="P280" i="6"/>
  <c r="O348" i="6"/>
  <c r="O353" i="6"/>
  <c r="J364" i="6"/>
  <c r="L404" i="6"/>
  <c r="O404" i="6" s="1"/>
  <c r="O528" i="6"/>
  <c r="K561" i="6"/>
  <c r="L631" i="6"/>
  <c r="O631" i="6" s="1"/>
  <c r="O641" i="6"/>
  <c r="I86" i="4"/>
  <c r="K86" i="4" s="1"/>
  <c r="M122" i="4"/>
  <c r="P122" i="4" s="1"/>
  <c r="O124" i="4"/>
  <c r="L155" i="4"/>
  <c r="O155" i="4" s="1"/>
  <c r="M72" i="5"/>
  <c r="P72" i="5" s="1"/>
  <c r="I260" i="5"/>
  <c r="K260" i="5" s="1"/>
  <c r="L321" i="5"/>
  <c r="O321" i="5" s="1"/>
  <c r="L33" i="6"/>
  <c r="L31" i="6" s="1"/>
  <c r="O31" i="6" s="1"/>
  <c r="M184" i="6"/>
  <c r="P184" i="6" s="1"/>
  <c r="P350" i="6"/>
  <c r="K362" i="6"/>
  <c r="K385" i="6"/>
  <c r="O397" i="6"/>
  <c r="I417" i="6"/>
  <c r="O526" i="6"/>
  <c r="J537" i="6"/>
  <c r="J522" i="6" s="1"/>
  <c r="K522" i="6" s="1"/>
  <c r="K594" i="6"/>
  <c r="K628" i="6"/>
  <c r="I785" i="6"/>
  <c r="O42" i="6"/>
  <c r="P54" i="6"/>
  <c r="M69" i="6"/>
  <c r="P69" i="6" s="1"/>
  <c r="P71" i="6"/>
  <c r="P89" i="6"/>
  <c r="K98" i="6"/>
  <c r="J86" i="6"/>
  <c r="K86" i="6" s="1"/>
  <c r="P468" i="6"/>
  <c r="M467" i="6"/>
  <c r="P467" i="6" s="1"/>
  <c r="P503" i="6"/>
  <c r="M502" i="6"/>
  <c r="P502" i="6" s="1"/>
  <c r="N151" i="3"/>
  <c r="N149" i="3" s="1"/>
  <c r="L72" i="4"/>
  <c r="O72" i="4" s="1"/>
  <c r="M279" i="4"/>
  <c r="M277" i="4" s="1"/>
  <c r="L477" i="4"/>
  <c r="O477" i="4" s="1"/>
  <c r="L125" i="5"/>
  <c r="O125" i="5" s="1"/>
  <c r="L134" i="5"/>
  <c r="O134" i="5" s="1"/>
  <c r="M171" i="5"/>
  <c r="P171" i="5" s="1"/>
  <c r="N183" i="5"/>
  <c r="N181" i="5" s="1"/>
  <c r="K244" i="5"/>
  <c r="N330" i="5"/>
  <c r="N328" i="5" s="1"/>
  <c r="M405" i="5"/>
  <c r="P405" i="5" s="1"/>
  <c r="L421" i="5"/>
  <c r="L419" i="5" s="1"/>
  <c r="O61" i="6"/>
  <c r="L59" i="6"/>
  <c r="O59" i="6" s="1"/>
  <c r="L94" i="6"/>
  <c r="O94" i="6" s="1"/>
  <c r="O96" i="6"/>
  <c r="K87" i="6"/>
  <c r="P127" i="6"/>
  <c r="N151" i="6"/>
  <c r="L152" i="6"/>
  <c r="O152" i="6" s="1"/>
  <c r="O154" i="6"/>
  <c r="N167" i="6"/>
  <c r="L168" i="6"/>
  <c r="O168" i="6" s="1"/>
  <c r="O170" i="6"/>
  <c r="K244" i="6"/>
  <c r="I237" i="6"/>
  <c r="L318" i="6"/>
  <c r="O320" i="6"/>
  <c r="P419" i="6"/>
  <c r="K111" i="3"/>
  <c r="L283" i="3"/>
  <c r="O283" i="3" s="1"/>
  <c r="L263" i="4"/>
  <c r="L261" i="4" s="1"/>
  <c r="O269" i="4"/>
  <c r="K362" i="4"/>
  <c r="P93" i="5"/>
  <c r="L121" i="5"/>
  <c r="L119" i="5" s="1"/>
  <c r="O119" i="5" s="1"/>
  <c r="M125" i="5"/>
  <c r="P125" i="5" s="1"/>
  <c r="M134" i="5"/>
  <c r="P134" i="5" s="1"/>
  <c r="L155" i="5"/>
  <c r="O155" i="5" s="1"/>
  <c r="M183" i="5"/>
  <c r="M181" i="5" s="1"/>
  <c r="M187" i="5"/>
  <c r="P187" i="5" s="1"/>
  <c r="L279" i="5"/>
  <c r="L277" i="5" s="1"/>
  <c r="N279" i="5"/>
  <c r="N277" i="5" s="1"/>
  <c r="M279" i="5"/>
  <c r="M277" i="5" s="1"/>
  <c r="K340" i="5"/>
  <c r="O641" i="5"/>
  <c r="K828" i="5"/>
  <c r="N12" i="6"/>
  <c r="L23" i="6"/>
  <c r="P32" i="6"/>
  <c r="M29" i="6"/>
  <c r="M31" i="6"/>
  <c r="P31" i="6" s="1"/>
  <c r="M44" i="6"/>
  <c r="P46" i="6"/>
  <c r="P58" i="6"/>
  <c r="P93" i="6"/>
  <c r="I112" i="6"/>
  <c r="K112" i="6" s="1"/>
  <c r="K115" i="6"/>
  <c r="N121" i="6"/>
  <c r="L122" i="6"/>
  <c r="O122" i="6" s="1"/>
  <c r="O124" i="6"/>
  <c r="P140" i="6"/>
  <c r="M138" i="6"/>
  <c r="P150" i="6"/>
  <c r="P166" i="6"/>
  <c r="I174" i="6"/>
  <c r="K176" i="6"/>
  <c r="N183" i="6"/>
  <c r="L184" i="6"/>
  <c r="O184" i="6" s="1"/>
  <c r="O186" i="6"/>
  <c r="L321" i="6"/>
  <c r="O321" i="6" s="1"/>
  <c r="O323" i="6"/>
  <c r="L631" i="2"/>
  <c r="L629" i="2" s="1"/>
  <c r="L59" i="4"/>
  <c r="O59" i="4" s="1"/>
  <c r="O61" i="5"/>
  <c r="N151" i="5"/>
  <c r="N149" i="5" s="1"/>
  <c r="L151" i="5"/>
  <c r="O151" i="5" s="1"/>
  <c r="L15" i="6"/>
  <c r="M23" i="6"/>
  <c r="M68" i="6"/>
  <c r="M72" i="6"/>
  <c r="P72" i="6" s="1"/>
  <c r="P74" i="6"/>
  <c r="P120" i="6"/>
  <c r="O133" i="6"/>
  <c r="L155" i="6"/>
  <c r="O155" i="6" s="1"/>
  <c r="O157" i="6"/>
  <c r="L171" i="6"/>
  <c r="O171" i="6" s="1"/>
  <c r="O173" i="6"/>
  <c r="P182" i="6"/>
  <c r="L198" i="6"/>
  <c r="O198" i="6" s="1"/>
  <c r="N263" i="6"/>
  <c r="N300" i="6"/>
  <c r="P316" i="6"/>
  <c r="P320" i="6"/>
  <c r="N318" i="6"/>
  <c r="N263" i="3"/>
  <c r="N261" i="3" s="1"/>
  <c r="K379" i="3"/>
  <c r="I112" i="4"/>
  <c r="K112" i="4" s="1"/>
  <c r="N317" i="4"/>
  <c r="N315" i="4" s="1"/>
  <c r="P58" i="5"/>
  <c r="M121" i="5"/>
  <c r="P121" i="5" s="1"/>
  <c r="L152" i="5"/>
  <c r="O152" i="5" s="1"/>
  <c r="M151" i="5"/>
  <c r="P151" i="5" s="1"/>
  <c r="N317" i="5"/>
  <c r="N315" i="5" s="1"/>
  <c r="O320" i="5"/>
  <c r="J327" i="5"/>
  <c r="K327" i="5" s="1"/>
  <c r="P350" i="5"/>
  <c r="K372" i="5"/>
  <c r="K699" i="5"/>
  <c r="L788" i="5"/>
  <c r="O788" i="5" s="1"/>
  <c r="K821" i="5"/>
  <c r="M9" i="6"/>
  <c r="M15" i="6"/>
  <c r="N23" i="6"/>
  <c r="L26" i="6"/>
  <c r="P61" i="6"/>
  <c r="O67" i="6"/>
  <c r="L125" i="6"/>
  <c r="O125" i="6" s="1"/>
  <c r="O127" i="6"/>
  <c r="P154" i="6"/>
  <c r="P170" i="6"/>
  <c r="L187" i="6"/>
  <c r="O187" i="6" s="1"/>
  <c r="O189" i="6"/>
  <c r="P262" i="6"/>
  <c r="P299" i="6"/>
  <c r="L525" i="4"/>
  <c r="O525" i="4" s="1"/>
  <c r="K700" i="4"/>
  <c r="K708" i="4"/>
  <c r="K821" i="4"/>
  <c r="P333" i="5"/>
  <c r="K360" i="5"/>
  <c r="N26" i="6"/>
  <c r="O29" i="6"/>
  <c r="O35" i="6"/>
  <c r="M47" i="6"/>
  <c r="P47" i="6" s="1"/>
  <c r="P49" i="6"/>
  <c r="M26" i="6"/>
  <c r="M24" i="6" s="1"/>
  <c r="O58" i="6"/>
  <c r="L56" i="6"/>
  <c r="O56" i="6" s="1"/>
  <c r="K79" i="6"/>
  <c r="I77" i="6"/>
  <c r="L91" i="6"/>
  <c r="O91" i="6" s="1"/>
  <c r="O93" i="6"/>
  <c r="P137" i="6"/>
  <c r="M135" i="6"/>
  <c r="P135" i="6" s="1"/>
  <c r="O266" i="6"/>
  <c r="O269" i="6"/>
  <c r="O278" i="6"/>
  <c r="P282" i="6"/>
  <c r="P285" i="6"/>
  <c r="O303" i="6"/>
  <c r="O306" i="6"/>
  <c r="L330" i="6"/>
  <c r="O333" i="6"/>
  <c r="K340" i="6"/>
  <c r="I442" i="6"/>
  <c r="K442" i="6" s="1"/>
  <c r="K460" i="6"/>
  <c r="K568" i="6"/>
  <c r="K621" i="6"/>
  <c r="O656" i="6"/>
  <c r="M655" i="6"/>
  <c r="P655" i="6" s="1"/>
  <c r="O806" i="6"/>
  <c r="L805" i="6"/>
  <c r="O805" i="6" s="1"/>
  <c r="O403" i="6"/>
  <c r="M405" i="6"/>
  <c r="P405" i="6" s="1"/>
  <c r="P407" i="6"/>
  <c r="K560" i="6"/>
  <c r="N658" i="6"/>
  <c r="M805" i="6"/>
  <c r="P805" i="6" s="1"/>
  <c r="O329" i="6"/>
  <c r="M408" i="6"/>
  <c r="P408" i="6" s="1"/>
  <c r="P410" i="6"/>
  <c r="L547" i="6"/>
  <c r="O547" i="6" s="1"/>
  <c r="O549" i="6"/>
  <c r="I275" i="6"/>
  <c r="I314" i="6"/>
  <c r="K314" i="6" s="1"/>
  <c r="I543" i="6"/>
  <c r="K543" i="6" s="1"/>
  <c r="K559" i="6"/>
  <c r="K593" i="6"/>
  <c r="K675" i="6"/>
  <c r="I654" i="6"/>
  <c r="K654" i="6" s="1"/>
  <c r="K674" i="6"/>
  <c r="K673" i="6"/>
  <c r="K669" i="6"/>
  <c r="K672" i="6"/>
  <c r="O690" i="6"/>
  <c r="L687" i="6"/>
  <c r="O687" i="6" s="1"/>
  <c r="L688" i="6"/>
  <c r="O688" i="6" s="1"/>
  <c r="O346" i="6"/>
  <c r="K365" i="6"/>
  <c r="O390" i="6"/>
  <c r="O420" i="6"/>
  <c r="P524" i="6"/>
  <c r="K576" i="6"/>
  <c r="O630" i="6"/>
  <c r="K651" i="6"/>
  <c r="L422" i="6"/>
  <c r="O422" i="6" s="1"/>
  <c r="I434" i="6"/>
  <c r="L447" i="6"/>
  <c r="O447" i="6" s="1"/>
  <c r="L477" i="6"/>
  <c r="O477" i="6" s="1"/>
  <c r="M545" i="6"/>
  <c r="L632" i="6"/>
  <c r="O632" i="6" s="1"/>
  <c r="L469" i="6"/>
  <c r="N525" i="6"/>
  <c r="K539" i="6"/>
  <c r="N788" i="6"/>
  <c r="K143" i="5"/>
  <c r="I131" i="5"/>
  <c r="K131" i="5" s="1"/>
  <c r="I297" i="2"/>
  <c r="K297" i="2" s="1"/>
  <c r="L33" i="5"/>
  <c r="L31" i="5" s="1"/>
  <c r="N43" i="5"/>
  <c r="N41" i="5" s="1"/>
  <c r="N68" i="5"/>
  <c r="N66" i="5" s="1"/>
  <c r="L198" i="5"/>
  <c r="O198" i="5" s="1"/>
  <c r="I297" i="5"/>
  <c r="K297" i="5" s="1"/>
  <c r="L317" i="5"/>
  <c r="N404" i="5"/>
  <c r="N402" i="5" s="1"/>
  <c r="L687" i="5"/>
  <c r="O687" i="5" s="1"/>
  <c r="L183" i="3"/>
  <c r="L181" i="3" s="1"/>
  <c r="M43" i="4"/>
  <c r="M41" i="4" s="1"/>
  <c r="O58" i="4"/>
  <c r="M72" i="4"/>
  <c r="P72" i="4" s="1"/>
  <c r="I190" i="4"/>
  <c r="K190" i="4" s="1"/>
  <c r="O266" i="4"/>
  <c r="J374" i="4"/>
  <c r="K374" i="4" s="1"/>
  <c r="L631" i="4"/>
  <c r="L629" i="4" s="1"/>
  <c r="K649" i="4"/>
  <c r="P46" i="5"/>
  <c r="M55" i="5"/>
  <c r="M53" i="5" s="1"/>
  <c r="N69" i="5"/>
  <c r="O69" i="5" s="1"/>
  <c r="L72" i="5"/>
  <c r="O72" i="5" s="1"/>
  <c r="K79" i="5"/>
  <c r="O91" i="5"/>
  <c r="I130" i="5"/>
  <c r="K130" i="5" s="1"/>
  <c r="K145" i="5"/>
  <c r="K164" i="5"/>
  <c r="N168" i="5"/>
  <c r="P168" i="5" s="1"/>
  <c r="K176" i="5"/>
  <c r="L183" i="5"/>
  <c r="N187" i="5"/>
  <c r="I190" i="5"/>
  <c r="K190" i="5" s="1"/>
  <c r="N280" i="5"/>
  <c r="O280" i="5" s="1"/>
  <c r="M317" i="5"/>
  <c r="P317" i="5" s="1"/>
  <c r="P320" i="5"/>
  <c r="K325" i="5"/>
  <c r="K369" i="5"/>
  <c r="K374" i="5"/>
  <c r="I433" i="5"/>
  <c r="I417" i="5" s="1"/>
  <c r="I443" i="5"/>
  <c r="K443" i="5" s="1"/>
  <c r="O535" i="5"/>
  <c r="K673" i="5"/>
  <c r="J722" i="5"/>
  <c r="K827" i="5"/>
  <c r="P44" i="5"/>
  <c r="K674" i="5"/>
  <c r="M125" i="4"/>
  <c r="P125" i="4" s="1"/>
  <c r="K287" i="4"/>
  <c r="M304" i="4"/>
  <c r="P304" i="4" s="1"/>
  <c r="M330" i="4"/>
  <c r="M328" i="4" s="1"/>
  <c r="K355" i="4"/>
  <c r="L36" i="5"/>
  <c r="M56" i="5"/>
  <c r="P56" i="5" s="1"/>
  <c r="L68" i="5"/>
  <c r="L66" i="5" s="1"/>
  <c r="M90" i="5"/>
  <c r="M88" i="5" s="1"/>
  <c r="L135" i="5"/>
  <c r="O135" i="5" s="1"/>
  <c r="I148" i="5"/>
  <c r="K148" i="5" s="1"/>
  <c r="M155" i="5"/>
  <c r="P155" i="5" s="1"/>
  <c r="O173" i="5"/>
  <c r="K255" i="5"/>
  <c r="M267" i="5"/>
  <c r="P267" i="5" s="1"/>
  <c r="O56" i="4"/>
  <c r="M151" i="4"/>
  <c r="M149" i="4" s="1"/>
  <c r="I364" i="4"/>
  <c r="K385" i="4"/>
  <c r="L36" i="4"/>
  <c r="O36" i="4" s="1"/>
  <c r="I443" i="4"/>
  <c r="K443" i="4" s="1"/>
  <c r="K647" i="4"/>
  <c r="J722" i="4"/>
  <c r="K722" i="4" s="1"/>
  <c r="O791" i="4"/>
  <c r="L26" i="5"/>
  <c r="L24" i="5" s="1"/>
  <c r="M68" i="5"/>
  <c r="M66" i="5" s="1"/>
  <c r="O93" i="5"/>
  <c r="L122" i="5"/>
  <c r="O122" i="5" s="1"/>
  <c r="M135" i="5"/>
  <c r="P135" i="5" s="1"/>
  <c r="M138" i="5"/>
  <c r="P138" i="5" s="1"/>
  <c r="M184" i="5"/>
  <c r="P184" i="5" s="1"/>
  <c r="L217" i="5"/>
  <c r="O217" i="5" s="1"/>
  <c r="I233" i="5"/>
  <c r="K233" i="5" s="1"/>
  <c r="L228" i="5"/>
  <c r="O282" i="5"/>
  <c r="N300" i="5"/>
  <c r="N298" i="5" s="1"/>
  <c r="M331" i="5"/>
  <c r="P331" i="5" s="1"/>
  <c r="M334" i="5"/>
  <c r="P334" i="5" s="1"/>
  <c r="L404" i="5"/>
  <c r="O404" i="5" s="1"/>
  <c r="M408" i="5"/>
  <c r="P408" i="5" s="1"/>
  <c r="O456" i="5"/>
  <c r="L525" i="5"/>
  <c r="O525" i="5" s="1"/>
  <c r="K669" i="5"/>
  <c r="K675" i="5"/>
  <c r="L688" i="5"/>
  <c r="O688" i="5" s="1"/>
  <c r="M151" i="3"/>
  <c r="P151" i="3" s="1"/>
  <c r="L33" i="4"/>
  <c r="O33" i="4" s="1"/>
  <c r="N68" i="4"/>
  <c r="N66" i="4" s="1"/>
  <c r="I77" i="4"/>
  <c r="K77" i="4" s="1"/>
  <c r="L134" i="4"/>
  <c r="O134" i="4" s="1"/>
  <c r="P154" i="4"/>
  <c r="P266" i="4"/>
  <c r="K378" i="4"/>
  <c r="L446" i="4"/>
  <c r="O446" i="4" s="1"/>
  <c r="M23" i="5"/>
  <c r="M21" i="5" s="1"/>
  <c r="M43" i="5"/>
  <c r="P170" i="5"/>
  <c r="K174" i="5"/>
  <c r="O186" i="5"/>
  <c r="L209" i="5"/>
  <c r="O209" i="5" s="1"/>
  <c r="I216" i="5"/>
  <c r="K216" i="5" s="1"/>
  <c r="N263" i="5"/>
  <c r="N261" i="5" s="1"/>
  <c r="M348" i="5"/>
  <c r="P348" i="5" s="1"/>
  <c r="M351" i="5"/>
  <c r="P351" i="5" s="1"/>
  <c r="K378" i="5"/>
  <c r="K385" i="5"/>
  <c r="M404" i="5"/>
  <c r="O431" i="5"/>
  <c r="L470" i="5"/>
  <c r="O470" i="5" s="1"/>
  <c r="I522" i="5"/>
  <c r="K522" i="5" s="1"/>
  <c r="I654" i="5"/>
  <c r="K654" i="5" s="1"/>
  <c r="N280" i="4"/>
  <c r="N279" i="4"/>
  <c r="N277" i="4" s="1"/>
  <c r="N91" i="4"/>
  <c r="O91" i="4" s="1"/>
  <c r="N90" i="4"/>
  <c r="N88" i="4" s="1"/>
  <c r="N91" i="3"/>
  <c r="P91" i="3" s="1"/>
  <c r="N90" i="3"/>
  <c r="N88" i="3" s="1"/>
  <c r="K146" i="4"/>
  <c r="I130" i="4"/>
  <c r="K130" i="4" s="1"/>
  <c r="P303" i="4"/>
  <c r="M301" i="4"/>
  <c r="P301" i="4" s="1"/>
  <c r="O74" i="3"/>
  <c r="L72" i="3"/>
  <c r="O72" i="3" s="1"/>
  <c r="P323" i="3"/>
  <c r="M321" i="3"/>
  <c r="P321" i="3" s="1"/>
  <c r="P269" i="4"/>
  <c r="M267" i="4"/>
  <c r="P267" i="4" s="1"/>
  <c r="M300" i="4"/>
  <c r="P350" i="4"/>
  <c r="N348" i="4"/>
  <c r="P348" i="4" s="1"/>
  <c r="L555" i="4"/>
  <c r="O555" i="4" s="1"/>
  <c r="O557" i="4"/>
  <c r="P137" i="4"/>
  <c r="M135" i="4"/>
  <c r="P135" i="4" s="1"/>
  <c r="P285" i="4"/>
  <c r="M283" i="4"/>
  <c r="P283" i="4" s="1"/>
  <c r="L347" i="4"/>
  <c r="L345" i="4" s="1"/>
  <c r="O166" i="5"/>
  <c r="K225" i="5"/>
  <c r="N788" i="5"/>
  <c r="N786" i="5" s="1"/>
  <c r="N414" i="5" s="1"/>
  <c r="N789" i="5"/>
  <c r="O350" i="4"/>
  <c r="M391" i="2"/>
  <c r="P391" i="2" s="1"/>
  <c r="I233" i="3"/>
  <c r="K233" i="3" s="1"/>
  <c r="K360" i="3"/>
  <c r="K378" i="3"/>
  <c r="P58" i="4"/>
  <c r="M69" i="4"/>
  <c r="P69" i="4" s="1"/>
  <c r="L125" i="4"/>
  <c r="O125" i="4" s="1"/>
  <c r="K145" i="4"/>
  <c r="K176" i="4"/>
  <c r="K215" i="4"/>
  <c r="N263" i="4"/>
  <c r="N261" i="4" s="1"/>
  <c r="P282" i="4"/>
  <c r="L300" i="4"/>
  <c r="L298" i="4" s="1"/>
  <c r="O298" i="4" s="1"/>
  <c r="N318" i="4"/>
  <c r="M321" i="4"/>
  <c r="P321" i="4" s="1"/>
  <c r="P336" i="4"/>
  <c r="O456" i="4"/>
  <c r="K729" i="4"/>
  <c r="M15" i="5"/>
  <c r="N23" i="5"/>
  <c r="M26" i="5"/>
  <c r="M29" i="5"/>
  <c r="N26" i="5"/>
  <c r="N55" i="5"/>
  <c r="N53" i="5" s="1"/>
  <c r="O58" i="5"/>
  <c r="P61" i="5"/>
  <c r="L90" i="5"/>
  <c r="I112" i="5"/>
  <c r="K112" i="5" s="1"/>
  <c r="N134" i="5"/>
  <c r="N132" i="5" s="1"/>
  <c r="J143" i="5"/>
  <c r="J131" i="5" s="1"/>
  <c r="L331" i="5"/>
  <c r="O331" i="5" s="1"/>
  <c r="O333" i="5"/>
  <c r="L334" i="5"/>
  <c r="O334" i="5" s="1"/>
  <c r="O336" i="5"/>
  <c r="L23" i="5"/>
  <c r="O46" i="5"/>
  <c r="P755" i="5"/>
  <c r="M754" i="5"/>
  <c r="P754" i="5" s="1"/>
  <c r="M404" i="2"/>
  <c r="P404" i="2" s="1"/>
  <c r="J722" i="2"/>
  <c r="K722" i="2" s="1"/>
  <c r="N43" i="3"/>
  <c r="N41" i="3" s="1"/>
  <c r="L121" i="4"/>
  <c r="L151" i="4"/>
  <c r="L149" i="4" s="1"/>
  <c r="O149" i="4" s="1"/>
  <c r="L183" i="4"/>
  <c r="L181" i="4" s="1"/>
  <c r="L209" i="4"/>
  <c r="O209" i="4" s="1"/>
  <c r="L231" i="4"/>
  <c r="L405" i="4"/>
  <c r="O405" i="4" s="1"/>
  <c r="K673" i="4"/>
  <c r="K675" i="4"/>
  <c r="K824" i="4"/>
  <c r="L12" i="5"/>
  <c r="P22" i="5"/>
  <c r="M19" i="5"/>
  <c r="M12" i="5"/>
  <c r="K86" i="5"/>
  <c r="N90" i="5"/>
  <c r="N88" i="5" s="1"/>
  <c r="K98" i="5"/>
  <c r="L167" i="5"/>
  <c r="O170" i="5"/>
  <c r="K237" i="5"/>
  <c r="I226" i="5"/>
  <c r="K226" i="5" s="1"/>
  <c r="P266" i="5"/>
  <c r="N264" i="5"/>
  <c r="O303" i="5"/>
  <c r="L301" i="5"/>
  <c r="O301" i="5" s="1"/>
  <c r="L300" i="5"/>
  <c r="I434" i="5"/>
  <c r="K438" i="5"/>
  <c r="L632" i="5"/>
  <c r="O632" i="5" s="1"/>
  <c r="O634" i="5"/>
  <c r="L631" i="5"/>
  <c r="L263" i="3"/>
  <c r="L55" i="4"/>
  <c r="L53" i="4" s="1"/>
  <c r="I76" i="4"/>
  <c r="I64" i="4" s="1"/>
  <c r="K64" i="4" s="1"/>
  <c r="L152" i="4"/>
  <c r="O152" i="4" s="1"/>
  <c r="N168" i="4"/>
  <c r="O168" i="4" s="1"/>
  <c r="N167" i="4"/>
  <c r="N165" i="4" s="1"/>
  <c r="K340" i="4"/>
  <c r="N347" i="4"/>
  <c r="N345" i="4" s="1"/>
  <c r="L391" i="4"/>
  <c r="O391" i="4" s="1"/>
  <c r="L408" i="4"/>
  <c r="O408" i="4" s="1"/>
  <c r="L469" i="4"/>
  <c r="O469" i="4" s="1"/>
  <c r="I654" i="4"/>
  <c r="K654" i="4" s="1"/>
  <c r="N19" i="5"/>
  <c r="N12" i="5"/>
  <c r="O25" i="5"/>
  <c r="M30" i="5"/>
  <c r="P30" i="5" s="1"/>
  <c r="P42" i="5"/>
  <c r="O71" i="5"/>
  <c r="I76" i="5"/>
  <c r="I87" i="5"/>
  <c r="K87" i="5" s="1"/>
  <c r="K99" i="5"/>
  <c r="P133" i="5"/>
  <c r="L138" i="5"/>
  <c r="O138" i="5" s="1"/>
  <c r="M167" i="5"/>
  <c r="O182" i="5"/>
  <c r="O184" i="5"/>
  <c r="O189" i="5"/>
  <c r="K204" i="5"/>
  <c r="I197" i="5"/>
  <c r="K197" i="5" s="1"/>
  <c r="L230" i="5"/>
  <c r="O266" i="5"/>
  <c r="K370" i="2"/>
  <c r="K374" i="2"/>
  <c r="N404" i="2"/>
  <c r="N402" i="2" s="1"/>
  <c r="K821" i="3"/>
  <c r="K824" i="3"/>
  <c r="K827" i="3"/>
  <c r="M47" i="4"/>
  <c r="P47" i="4" s="1"/>
  <c r="P152" i="4"/>
  <c r="K372" i="4"/>
  <c r="L19" i="5"/>
  <c r="L43" i="5"/>
  <c r="P71" i="5"/>
  <c r="M91" i="5"/>
  <c r="P91" i="5" s="1"/>
  <c r="K825" i="4"/>
  <c r="N33" i="5"/>
  <c r="L477" i="5"/>
  <c r="O477" i="5" s="1"/>
  <c r="O479" i="5"/>
  <c r="L469" i="5"/>
  <c r="O469" i="5" s="1"/>
  <c r="K828" i="4"/>
  <c r="J288" i="5"/>
  <c r="J275" i="5" s="1"/>
  <c r="K275" i="5" s="1"/>
  <c r="K355" i="5"/>
  <c r="L422" i="5"/>
  <c r="O422" i="5" s="1"/>
  <c r="O424" i="5"/>
  <c r="L447" i="5"/>
  <c r="O447" i="5" s="1"/>
  <c r="O449" i="5"/>
  <c r="P525" i="5"/>
  <c r="M523" i="5"/>
  <c r="P523" i="5" s="1"/>
  <c r="K620" i="5"/>
  <c r="P738" i="5"/>
  <c r="M737" i="5"/>
  <c r="P737" i="5" s="1"/>
  <c r="P807" i="5"/>
  <c r="M805" i="5"/>
  <c r="P805" i="5" s="1"/>
  <c r="O278" i="5"/>
  <c r="P282" i="5"/>
  <c r="M280" i="5"/>
  <c r="O306" i="5"/>
  <c r="L304" i="5"/>
  <c r="O304" i="5" s="1"/>
  <c r="P316" i="5"/>
  <c r="L392" i="5"/>
  <c r="O392" i="5" s="1"/>
  <c r="O394" i="5"/>
  <c r="L395" i="5"/>
  <c r="O395" i="5" s="1"/>
  <c r="O397" i="5"/>
  <c r="O524" i="5"/>
  <c r="P687" i="5"/>
  <c r="M685" i="5"/>
  <c r="P685" i="5" s="1"/>
  <c r="P771" i="5"/>
  <c r="M770" i="5"/>
  <c r="P770" i="5" s="1"/>
  <c r="P788" i="5"/>
  <c r="M786" i="5"/>
  <c r="P786" i="5" s="1"/>
  <c r="I785" i="5"/>
  <c r="K785" i="5" s="1"/>
  <c r="K800" i="5"/>
  <c r="O806" i="5"/>
  <c r="L805" i="5"/>
  <c r="O805" i="5" s="1"/>
  <c r="P285" i="5"/>
  <c r="M283" i="5"/>
  <c r="P283" i="5" s="1"/>
  <c r="L348" i="5"/>
  <c r="O348" i="5" s="1"/>
  <c r="O350" i="5"/>
  <c r="L351" i="5"/>
  <c r="O351" i="5" s="1"/>
  <c r="O353" i="5"/>
  <c r="N526" i="5"/>
  <c r="J537" i="5"/>
  <c r="J522" i="5" s="1"/>
  <c r="K539" i="5"/>
  <c r="K561" i="5"/>
  <c r="I543" i="5"/>
  <c r="K543" i="5" s="1"/>
  <c r="K559" i="5"/>
  <c r="O686" i="5"/>
  <c r="O787" i="5"/>
  <c r="L405" i="5"/>
  <c r="O405" i="5" s="1"/>
  <c r="L408" i="5"/>
  <c r="O408" i="5" s="1"/>
  <c r="O528" i="5"/>
  <c r="L555" i="5"/>
  <c r="O555" i="5" s="1"/>
  <c r="L658" i="5"/>
  <c r="O658" i="5" s="1"/>
  <c r="O791" i="5"/>
  <c r="M419" i="5"/>
  <c r="J433" i="5"/>
  <c r="J417" i="5" s="1"/>
  <c r="M444" i="5"/>
  <c r="P444" i="5" s="1"/>
  <c r="L502" i="5"/>
  <c r="O502" i="5" s="1"/>
  <c r="L546" i="5"/>
  <c r="M629" i="5"/>
  <c r="P629" i="5" s="1"/>
  <c r="K365" i="5"/>
  <c r="M467" i="5"/>
  <c r="P467" i="5" s="1"/>
  <c r="M502" i="5"/>
  <c r="P502" i="5" s="1"/>
  <c r="K576" i="5"/>
  <c r="K651" i="5"/>
  <c r="M545" i="5"/>
  <c r="M121" i="3"/>
  <c r="P121" i="3" s="1"/>
  <c r="L228" i="2"/>
  <c r="I364" i="2"/>
  <c r="I592" i="2"/>
  <c r="K592" i="2" s="1"/>
  <c r="K651" i="2"/>
  <c r="N68" i="3"/>
  <c r="N66" i="3" s="1"/>
  <c r="P137" i="3"/>
  <c r="L231" i="3"/>
  <c r="K309" i="3"/>
  <c r="M392" i="3"/>
  <c r="P392" i="3" s="1"/>
  <c r="K651" i="3"/>
  <c r="P44" i="4"/>
  <c r="K79" i="4"/>
  <c r="O93" i="4"/>
  <c r="M138" i="4"/>
  <c r="P138" i="4" s="1"/>
  <c r="N151" i="4"/>
  <c r="N149" i="4" s="1"/>
  <c r="O154" i="4"/>
  <c r="L167" i="4"/>
  <c r="O173" i="4"/>
  <c r="L198" i="4"/>
  <c r="O198" i="4" s="1"/>
  <c r="I216" i="4"/>
  <c r="K216" i="4" s="1"/>
  <c r="I233" i="4"/>
  <c r="K233" i="4" s="1"/>
  <c r="M264" i="4"/>
  <c r="P264" i="4" s="1"/>
  <c r="O282" i="4"/>
  <c r="L301" i="4"/>
  <c r="O301" i="4" s="1"/>
  <c r="O306" i="4"/>
  <c r="I314" i="4"/>
  <c r="K314" i="4" s="1"/>
  <c r="L330" i="4"/>
  <c r="L328" i="4" s="1"/>
  <c r="K338" i="4"/>
  <c r="K365" i="4"/>
  <c r="K370" i="4"/>
  <c r="L547" i="4"/>
  <c r="O547" i="4" s="1"/>
  <c r="I559" i="4"/>
  <c r="K559" i="4" s="1"/>
  <c r="L687" i="4"/>
  <c r="O687" i="4" s="1"/>
  <c r="K827" i="4"/>
  <c r="M121" i="4"/>
  <c r="P121" i="4" s="1"/>
  <c r="M263" i="4"/>
  <c r="K224" i="2"/>
  <c r="N152" i="3"/>
  <c r="M167" i="3"/>
  <c r="M165" i="3" s="1"/>
  <c r="N264" i="3"/>
  <c r="O333" i="3"/>
  <c r="K462" i="3"/>
  <c r="M26" i="4"/>
  <c r="M24" i="4" s="1"/>
  <c r="M55" i="4"/>
  <c r="M53" i="4" s="1"/>
  <c r="P61" i="4"/>
  <c r="K143" i="4"/>
  <c r="K255" i="4"/>
  <c r="M280" i="4"/>
  <c r="O303" i="4"/>
  <c r="L334" i="4"/>
  <c r="O334" i="4" s="1"/>
  <c r="K360" i="4"/>
  <c r="L392" i="4"/>
  <c r="O392" i="4" s="1"/>
  <c r="M408" i="4"/>
  <c r="P408" i="4" s="1"/>
  <c r="K723" i="4"/>
  <c r="L279" i="2"/>
  <c r="L277" i="2" s="1"/>
  <c r="O93" i="3"/>
  <c r="L187" i="3"/>
  <c r="O187" i="3" s="1"/>
  <c r="L321" i="3"/>
  <c r="O321" i="3" s="1"/>
  <c r="L43" i="4"/>
  <c r="L41" i="4" s="1"/>
  <c r="L187" i="4"/>
  <c r="O187" i="4" s="1"/>
  <c r="L228" i="4"/>
  <c r="I297" i="4"/>
  <c r="K297" i="4" s="1"/>
  <c r="N300" i="4"/>
  <c r="N298" i="4" s="1"/>
  <c r="L348" i="4"/>
  <c r="M404" i="4"/>
  <c r="P404" i="4" s="1"/>
  <c r="I434" i="4"/>
  <c r="I418" i="4" s="1"/>
  <c r="K418" i="4" s="1"/>
  <c r="O641" i="4"/>
  <c r="K674" i="4"/>
  <c r="L688" i="4"/>
  <c r="O688" i="4" s="1"/>
  <c r="L788" i="4"/>
  <c r="O788" i="4" s="1"/>
  <c r="P303" i="3"/>
  <c r="K628" i="3"/>
  <c r="K647" i="3"/>
  <c r="M23" i="4"/>
  <c r="M13" i="4" s="1"/>
  <c r="L229" i="4"/>
  <c r="J327" i="4"/>
  <c r="K327" i="4" s="1"/>
  <c r="N404" i="4"/>
  <c r="N402" i="4" s="1"/>
  <c r="O535" i="4"/>
  <c r="K725" i="4"/>
  <c r="O528" i="2"/>
  <c r="L525" i="2"/>
  <c r="O525" i="2" s="1"/>
  <c r="L155" i="3"/>
  <c r="O155" i="3" s="1"/>
  <c r="O157" i="3"/>
  <c r="O170" i="3"/>
  <c r="L167" i="3"/>
  <c r="L165" i="3" s="1"/>
  <c r="P410" i="3"/>
  <c r="M408" i="3"/>
  <c r="P408" i="3" s="1"/>
  <c r="O32" i="4"/>
  <c r="L29" i="4"/>
  <c r="P182" i="4"/>
  <c r="N392" i="2"/>
  <c r="N391" i="2"/>
  <c r="N389" i="2" s="1"/>
  <c r="K673" i="2"/>
  <c r="I654" i="2"/>
  <c r="K654" i="2" s="1"/>
  <c r="L55" i="3"/>
  <c r="L53" i="3" s="1"/>
  <c r="O96" i="3"/>
  <c r="L94" i="3"/>
  <c r="O94" i="3" s="1"/>
  <c r="I112" i="3"/>
  <c r="K112" i="3" s="1"/>
  <c r="K115" i="3"/>
  <c r="N134" i="3"/>
  <c r="N132" i="3" s="1"/>
  <c r="M404" i="3"/>
  <c r="P404" i="3" s="1"/>
  <c r="N23" i="4"/>
  <c r="L44" i="4"/>
  <c r="O44" i="4" s="1"/>
  <c r="L23" i="4"/>
  <c r="O46" i="4"/>
  <c r="N69" i="4"/>
  <c r="I87" i="4"/>
  <c r="K87" i="4" s="1"/>
  <c r="K99" i="4"/>
  <c r="K144" i="4"/>
  <c r="J143" i="4"/>
  <c r="J131" i="4" s="1"/>
  <c r="O166" i="4"/>
  <c r="K225" i="4"/>
  <c r="O285" i="4"/>
  <c r="L283" i="4"/>
  <c r="O283" i="4" s="1"/>
  <c r="O320" i="4"/>
  <c r="L317" i="4"/>
  <c r="O317" i="4" s="1"/>
  <c r="L318" i="4"/>
  <c r="O318" i="4" s="1"/>
  <c r="K78" i="3"/>
  <c r="I76" i="3"/>
  <c r="K76" i="3" s="1"/>
  <c r="K287" i="3"/>
  <c r="I276" i="3"/>
  <c r="K276" i="3" s="1"/>
  <c r="L47" i="4"/>
  <c r="O47" i="4" s="1"/>
  <c r="O49" i="4"/>
  <c r="L26" i="4"/>
  <c r="L24" i="4" s="1"/>
  <c r="O89" i="4"/>
  <c r="P96" i="4"/>
  <c r="M94" i="4"/>
  <c r="P94" i="4" s="1"/>
  <c r="L138" i="4"/>
  <c r="O138" i="4" s="1"/>
  <c r="O140" i="4"/>
  <c r="O323" i="4"/>
  <c r="L321" i="4"/>
  <c r="O321" i="4" s="1"/>
  <c r="N331" i="4"/>
  <c r="O331" i="4" s="1"/>
  <c r="N330" i="4"/>
  <c r="O333" i="4"/>
  <c r="N122" i="2"/>
  <c r="N121" i="2"/>
  <c r="N119" i="2" s="1"/>
  <c r="K287" i="2"/>
  <c r="I276" i="2"/>
  <c r="K276" i="2" s="1"/>
  <c r="N300" i="2"/>
  <c r="N298" i="2" s="1"/>
  <c r="M69" i="3"/>
  <c r="P69" i="3" s="1"/>
  <c r="M68" i="3"/>
  <c r="M66" i="3" s="1"/>
  <c r="I148" i="3"/>
  <c r="K148" i="3" s="1"/>
  <c r="K159" i="3"/>
  <c r="P336" i="3"/>
  <c r="M334" i="3"/>
  <c r="P334" i="3" s="1"/>
  <c r="N122" i="4"/>
  <c r="N121" i="4"/>
  <c r="N119" i="4" s="1"/>
  <c r="N134" i="4"/>
  <c r="N132" i="4" s="1"/>
  <c r="M171" i="4"/>
  <c r="P171" i="4" s="1"/>
  <c r="P173" i="4"/>
  <c r="N183" i="4"/>
  <c r="O186" i="4"/>
  <c r="N184" i="4"/>
  <c r="O184" i="4" s="1"/>
  <c r="L279" i="4"/>
  <c r="P61" i="2"/>
  <c r="M59" i="2"/>
  <c r="P59" i="2" s="1"/>
  <c r="L229" i="2"/>
  <c r="P333" i="3"/>
  <c r="M330" i="3"/>
  <c r="M328" i="3" s="1"/>
  <c r="K537" i="3"/>
  <c r="I522" i="3"/>
  <c r="K522" i="3" s="1"/>
  <c r="P15" i="4"/>
  <c r="O19" i="4"/>
  <c r="P22" i="4"/>
  <c r="M19" i="4"/>
  <c r="M12" i="4"/>
  <c r="O25" i="4"/>
  <c r="L15" i="4"/>
  <c r="P35" i="4"/>
  <c r="M34" i="4"/>
  <c r="P34" i="4" s="1"/>
  <c r="P42" i="4"/>
  <c r="N26" i="4"/>
  <c r="N47" i="4"/>
  <c r="P67" i="4"/>
  <c r="O71" i="4"/>
  <c r="L68" i="4"/>
  <c r="L249" i="4"/>
  <c r="O249" i="4" s="1"/>
  <c r="O390" i="4"/>
  <c r="P771" i="4"/>
  <c r="M770" i="4"/>
  <c r="P770" i="4" s="1"/>
  <c r="L12" i="4"/>
  <c r="P29" i="4"/>
  <c r="M28" i="4"/>
  <c r="P28" i="4" s="1"/>
  <c r="P33" i="4"/>
  <c r="M30" i="4"/>
  <c r="P30" i="4" s="1"/>
  <c r="M31" i="4"/>
  <c r="P31" i="4" s="1"/>
  <c r="M90" i="4"/>
  <c r="M168" i="4"/>
  <c r="P170" i="4"/>
  <c r="M167" i="4"/>
  <c r="I197" i="4"/>
  <c r="K197" i="4" s="1"/>
  <c r="K204" i="4"/>
  <c r="K271" i="4"/>
  <c r="I260" i="4"/>
  <c r="K260" i="4" s="1"/>
  <c r="M55" i="2"/>
  <c r="M53" i="2" s="1"/>
  <c r="M68" i="2"/>
  <c r="P68" i="2" s="1"/>
  <c r="K701" i="2"/>
  <c r="K822" i="2"/>
  <c r="K825" i="2"/>
  <c r="K828" i="2"/>
  <c r="P46" i="3"/>
  <c r="K340" i="3"/>
  <c r="P348" i="3"/>
  <c r="L33" i="3"/>
  <c r="O33" i="3" s="1"/>
  <c r="M184" i="4"/>
  <c r="P186" i="4"/>
  <c r="P320" i="4"/>
  <c r="M317" i="4"/>
  <c r="M395" i="4"/>
  <c r="P395" i="4" s="1"/>
  <c r="P397" i="4"/>
  <c r="I417" i="4"/>
  <c r="P545" i="4"/>
  <c r="M544" i="4"/>
  <c r="P544" i="4" s="1"/>
  <c r="K651" i="4"/>
  <c r="P755" i="4"/>
  <c r="M754" i="4"/>
  <c r="P754" i="4" s="1"/>
  <c r="L59" i="2"/>
  <c r="O59" i="2" s="1"/>
  <c r="N68" i="2"/>
  <c r="N66" i="2" s="1"/>
  <c r="I87" i="3"/>
  <c r="K87" i="3" s="1"/>
  <c r="L125" i="3"/>
  <c r="O125" i="3" s="1"/>
  <c r="M171" i="3"/>
  <c r="P171" i="3" s="1"/>
  <c r="I174" i="3"/>
  <c r="K174" i="3" s="1"/>
  <c r="O186" i="3"/>
  <c r="L249" i="3"/>
  <c r="O249" i="3" s="1"/>
  <c r="K365" i="3"/>
  <c r="L36" i="3"/>
  <c r="O36" i="3" s="1"/>
  <c r="J722" i="3"/>
  <c r="K722" i="3" s="1"/>
  <c r="M134" i="4"/>
  <c r="P134" i="4" s="1"/>
  <c r="M183" i="4"/>
  <c r="L238" i="4"/>
  <c r="M351" i="4"/>
  <c r="P351" i="4" s="1"/>
  <c r="P353" i="4"/>
  <c r="M392" i="4"/>
  <c r="P392" i="4" s="1"/>
  <c r="P394" i="4"/>
  <c r="O420" i="4"/>
  <c r="O472" i="4"/>
  <c r="L470" i="4"/>
  <c r="I628" i="4"/>
  <c r="K628" i="4" s="1"/>
  <c r="O686" i="4"/>
  <c r="P787" i="4"/>
  <c r="M786" i="4"/>
  <c r="P786" i="4" s="1"/>
  <c r="I785" i="4"/>
  <c r="K785" i="4" s="1"/>
  <c r="K800" i="4"/>
  <c r="O74" i="2"/>
  <c r="I76" i="2"/>
  <c r="K76" i="2" s="1"/>
  <c r="O350" i="2"/>
  <c r="L404" i="2"/>
  <c r="O404" i="2" s="1"/>
  <c r="N23" i="3"/>
  <c r="N13" i="3" s="1"/>
  <c r="N11" i="3" s="1"/>
  <c r="I208" i="3"/>
  <c r="K208" i="3" s="1"/>
  <c r="N404" i="3"/>
  <c r="N402" i="3" s="1"/>
  <c r="N12" i="4"/>
  <c r="P46" i="4"/>
  <c r="N55" i="4"/>
  <c r="M68" i="4"/>
  <c r="P68" i="4" s="1"/>
  <c r="P93" i="4"/>
  <c r="O96" i="4"/>
  <c r="L135" i="4"/>
  <c r="O135" i="4" s="1"/>
  <c r="O137" i="4"/>
  <c r="K174" i="4"/>
  <c r="I237" i="4"/>
  <c r="O264" i="4"/>
  <c r="L280" i="4"/>
  <c r="O329" i="4"/>
  <c r="O351" i="4"/>
  <c r="K379" i="4"/>
  <c r="N391" i="4"/>
  <c r="N389" i="4" s="1"/>
  <c r="O403" i="4"/>
  <c r="P420" i="4"/>
  <c r="M419" i="4"/>
  <c r="O424" i="4"/>
  <c r="N421" i="4"/>
  <c r="N422" i="4"/>
  <c r="O422" i="4" s="1"/>
  <c r="K577" i="4"/>
  <c r="K594" i="4"/>
  <c r="N786" i="4"/>
  <c r="K821" i="2"/>
  <c r="K824" i="2"/>
  <c r="K827" i="2"/>
  <c r="O46" i="3"/>
  <c r="O71" i="3"/>
  <c r="I197" i="3"/>
  <c r="K197" i="3" s="1"/>
  <c r="L198" i="3"/>
  <c r="O198" i="3" s="1"/>
  <c r="L217" i="3"/>
  <c r="O217" i="3" s="1"/>
  <c r="L238" i="3"/>
  <c r="O238" i="3" s="1"/>
  <c r="I248" i="3"/>
  <c r="K248" i="3" s="1"/>
  <c r="K359" i="3"/>
  <c r="K362" i="3"/>
  <c r="K385" i="3"/>
  <c r="M391" i="3"/>
  <c r="P391" i="3" s="1"/>
  <c r="K701" i="3"/>
  <c r="K723" i="3"/>
  <c r="L90" i="4"/>
  <c r="I148" i="4"/>
  <c r="K148" i="4" s="1"/>
  <c r="M187" i="4"/>
  <c r="P187" i="4" s="1"/>
  <c r="P189" i="4"/>
  <c r="L217" i="4"/>
  <c r="O217" i="4" s="1"/>
  <c r="J226" i="4"/>
  <c r="J180" i="4" s="1"/>
  <c r="P329" i="4"/>
  <c r="M331" i="4"/>
  <c r="P333" i="4"/>
  <c r="P403" i="4"/>
  <c r="N419" i="4"/>
  <c r="P469" i="4"/>
  <c r="M467" i="4"/>
  <c r="P467" i="4" s="1"/>
  <c r="L429" i="4"/>
  <c r="O429" i="4" s="1"/>
  <c r="L421" i="4"/>
  <c r="O421" i="4" s="1"/>
  <c r="O468" i="4"/>
  <c r="O504" i="4"/>
  <c r="L502" i="4"/>
  <c r="O502" i="4" s="1"/>
  <c r="K592" i="4"/>
  <c r="O634" i="4"/>
  <c r="N631" i="4"/>
  <c r="N632" i="4"/>
  <c r="O632" i="4" s="1"/>
  <c r="P657" i="4"/>
  <c r="M655" i="4"/>
  <c r="P655" i="4" s="1"/>
  <c r="N685" i="4"/>
  <c r="M805" i="4"/>
  <c r="P805" i="4" s="1"/>
  <c r="I275" i="4"/>
  <c r="J288" i="4"/>
  <c r="J275" i="4" s="1"/>
  <c r="M347" i="4"/>
  <c r="O353" i="4"/>
  <c r="K359" i="4"/>
  <c r="M405" i="4"/>
  <c r="P405" i="4" s="1"/>
  <c r="O431" i="4"/>
  <c r="K435" i="4"/>
  <c r="J433" i="4"/>
  <c r="J417" i="4" s="1"/>
  <c r="N504" i="4"/>
  <c r="N502" i="4" s="1"/>
  <c r="N505" i="4"/>
  <c r="I522" i="4"/>
  <c r="K522" i="4" s="1"/>
  <c r="K537" i="4"/>
  <c r="O656" i="4"/>
  <c r="L658" i="4"/>
  <c r="O658" i="4" s="1"/>
  <c r="J721" i="4"/>
  <c r="K721" i="4" s="1"/>
  <c r="L404" i="4"/>
  <c r="O404" i="4" s="1"/>
  <c r="M444" i="4"/>
  <c r="P444" i="4" s="1"/>
  <c r="N470" i="4"/>
  <c r="P524" i="4"/>
  <c r="M523" i="4"/>
  <c r="P523" i="4" s="1"/>
  <c r="O528" i="4"/>
  <c r="J537" i="4"/>
  <c r="J522" i="4" s="1"/>
  <c r="L546" i="4"/>
  <c r="K672" i="4"/>
  <c r="K669" i="4"/>
  <c r="K674" i="3"/>
  <c r="P266" i="2"/>
  <c r="M321" i="2"/>
  <c r="P321" i="2" s="1"/>
  <c r="L26" i="3"/>
  <c r="N56" i="3"/>
  <c r="O56" i="3" s="1"/>
  <c r="L59" i="3"/>
  <c r="O59" i="3" s="1"/>
  <c r="L68" i="3"/>
  <c r="P74" i="3"/>
  <c r="M90" i="3"/>
  <c r="L121" i="3"/>
  <c r="N121" i="3"/>
  <c r="N119" i="3" s="1"/>
  <c r="L134" i="3"/>
  <c r="O134" i="3" s="1"/>
  <c r="L138" i="3"/>
  <c r="O138" i="3" s="1"/>
  <c r="K146" i="3"/>
  <c r="L152" i="3"/>
  <c r="O152" i="3" s="1"/>
  <c r="M187" i="3"/>
  <c r="P187" i="3" s="1"/>
  <c r="I260" i="3"/>
  <c r="K260" i="3" s="1"/>
  <c r="L279" i="3"/>
  <c r="L277" i="3" s="1"/>
  <c r="J288" i="3"/>
  <c r="J275" i="3" s="1"/>
  <c r="K275" i="3" s="1"/>
  <c r="L331" i="3"/>
  <c r="O331" i="3" s="1"/>
  <c r="K374" i="3"/>
  <c r="M395" i="3"/>
  <c r="P395" i="3" s="1"/>
  <c r="P397" i="3"/>
  <c r="L230" i="2"/>
  <c r="L23" i="3"/>
  <c r="L44" i="3"/>
  <c r="O61" i="3"/>
  <c r="M134" i="3"/>
  <c r="P140" i="3"/>
  <c r="L228" i="3"/>
  <c r="O280" i="3"/>
  <c r="M331" i="3"/>
  <c r="P331" i="3" s="1"/>
  <c r="M405" i="3"/>
  <c r="P405" i="3" s="1"/>
  <c r="P407" i="3"/>
  <c r="L657" i="3"/>
  <c r="O660" i="3"/>
  <c r="O186" i="2"/>
  <c r="L280" i="2"/>
  <c r="K340" i="2"/>
  <c r="I442" i="2"/>
  <c r="K442" i="2" s="1"/>
  <c r="J721" i="2"/>
  <c r="K721" i="2" s="1"/>
  <c r="N44" i="3"/>
  <c r="P44" i="3" s="1"/>
  <c r="L122" i="3"/>
  <c r="O122" i="3" s="1"/>
  <c r="L151" i="3"/>
  <c r="K224" i="3"/>
  <c r="L230" i="3"/>
  <c r="L317" i="3"/>
  <c r="O317" i="3" s="1"/>
  <c r="M347" i="3"/>
  <c r="M345" i="3" s="1"/>
  <c r="I442" i="3"/>
  <c r="K442" i="3" s="1"/>
  <c r="L688" i="3"/>
  <c r="O688" i="3" s="1"/>
  <c r="L789" i="3"/>
  <c r="O789" i="3" s="1"/>
  <c r="L55" i="2"/>
  <c r="L53" i="2" s="1"/>
  <c r="N55" i="2"/>
  <c r="L90" i="2"/>
  <c r="L88" i="2" s="1"/>
  <c r="N90" i="2"/>
  <c r="N88" i="2" s="1"/>
  <c r="M121" i="2"/>
  <c r="M119" i="2" s="1"/>
  <c r="P119" i="2" s="1"/>
  <c r="N167" i="2"/>
  <c r="N165" i="2" s="1"/>
  <c r="L209" i="2"/>
  <c r="O209" i="2" s="1"/>
  <c r="L301" i="2"/>
  <c r="O301" i="2" s="1"/>
  <c r="O333" i="2"/>
  <c r="N347" i="2"/>
  <c r="N345" i="2" s="1"/>
  <c r="K369" i="2"/>
  <c r="K372" i="2"/>
  <c r="L526" i="2"/>
  <c r="O526" i="2" s="1"/>
  <c r="L43" i="3"/>
  <c r="L47" i="3"/>
  <c r="O47" i="3" s="1"/>
  <c r="O58" i="3"/>
  <c r="M94" i="3"/>
  <c r="P94" i="3" s="1"/>
  <c r="N167" i="3"/>
  <c r="N165" i="3" s="1"/>
  <c r="P170" i="3"/>
  <c r="M183" i="3"/>
  <c r="P186" i="3"/>
  <c r="L209" i="3"/>
  <c r="O209" i="3" s="1"/>
  <c r="L229" i="3"/>
  <c r="M301" i="3"/>
  <c r="P301" i="3" s="1"/>
  <c r="L318" i="3"/>
  <c r="O318" i="3" s="1"/>
  <c r="K355" i="3"/>
  <c r="K369" i="3"/>
  <c r="J364" i="3"/>
  <c r="L631" i="3"/>
  <c r="K822" i="3"/>
  <c r="K825" i="3"/>
  <c r="K828" i="3"/>
  <c r="P320" i="2"/>
  <c r="K378" i="2"/>
  <c r="K381" i="2"/>
  <c r="K649" i="2"/>
  <c r="M43" i="3"/>
  <c r="N55" i="3"/>
  <c r="N53" i="3" s="1"/>
  <c r="L69" i="3"/>
  <c r="O69" i="3" s="1"/>
  <c r="P71" i="3"/>
  <c r="L135" i="3"/>
  <c r="O135" i="3" s="1"/>
  <c r="J143" i="3"/>
  <c r="J131" i="3" s="1"/>
  <c r="L168" i="3"/>
  <c r="O168" i="3" s="1"/>
  <c r="N183" i="3"/>
  <c r="N181" i="3" s="1"/>
  <c r="N317" i="3"/>
  <c r="N315" i="3" s="1"/>
  <c r="J327" i="3"/>
  <c r="K327" i="3" s="1"/>
  <c r="K370" i="3"/>
  <c r="J537" i="3"/>
  <c r="J522" i="3" s="1"/>
  <c r="K649" i="3"/>
  <c r="K672" i="3"/>
  <c r="K725" i="3"/>
  <c r="O318" i="2"/>
  <c r="P269" i="3"/>
  <c r="M267" i="3"/>
  <c r="P267" i="3" s="1"/>
  <c r="M300" i="3"/>
  <c r="P306" i="3"/>
  <c r="P320" i="3"/>
  <c r="M317" i="3"/>
  <c r="P317" i="3" s="1"/>
  <c r="L122" i="2"/>
  <c r="O122" i="2" s="1"/>
  <c r="L283" i="2"/>
  <c r="O283" i="2" s="1"/>
  <c r="L331" i="2"/>
  <c r="O331" i="2" s="1"/>
  <c r="K338" i="2"/>
  <c r="O353" i="2"/>
  <c r="L36" i="2"/>
  <c r="O36" i="2" s="1"/>
  <c r="L546" i="2"/>
  <c r="O546" i="2" s="1"/>
  <c r="L12" i="3"/>
  <c r="O15" i="3"/>
  <c r="L19" i="3"/>
  <c r="O22" i="3"/>
  <c r="M26" i="3"/>
  <c r="O29" i="3"/>
  <c r="P30" i="3"/>
  <c r="O35" i="3"/>
  <c r="P36" i="3"/>
  <c r="P61" i="3"/>
  <c r="M59" i="3"/>
  <c r="P59" i="3" s="1"/>
  <c r="K81" i="3"/>
  <c r="I77" i="3"/>
  <c r="P184" i="3"/>
  <c r="K193" i="3"/>
  <c r="M263" i="3"/>
  <c r="O266" i="3"/>
  <c r="L301" i="3"/>
  <c r="O301" i="3" s="1"/>
  <c r="L300" i="3"/>
  <c r="O303" i="3"/>
  <c r="O407" i="3"/>
  <c r="L405" i="3"/>
  <c r="O405" i="3" s="1"/>
  <c r="L404" i="3"/>
  <c r="P420" i="3"/>
  <c r="M419" i="3"/>
  <c r="P555" i="3"/>
  <c r="M545" i="3"/>
  <c r="O93" i="2"/>
  <c r="O170" i="2"/>
  <c r="L231" i="2"/>
  <c r="N317" i="2"/>
  <c r="N315" i="2" s="1"/>
  <c r="O320" i="2"/>
  <c r="K360" i="2"/>
  <c r="K385" i="2"/>
  <c r="L405" i="2"/>
  <c r="O405" i="2" s="1"/>
  <c r="O660" i="2"/>
  <c r="N26" i="3"/>
  <c r="P49" i="3"/>
  <c r="L91" i="3"/>
  <c r="P127" i="3"/>
  <c r="M125" i="3"/>
  <c r="P125" i="3" s="1"/>
  <c r="P168" i="3"/>
  <c r="L171" i="3"/>
  <c r="O171" i="3" s="1"/>
  <c r="P266" i="3"/>
  <c r="M264" i="3"/>
  <c r="P282" i="3"/>
  <c r="L304" i="3"/>
  <c r="O304" i="3" s="1"/>
  <c r="O306" i="3"/>
  <c r="L334" i="3"/>
  <c r="O334" i="3" s="1"/>
  <c r="O336" i="3"/>
  <c r="L330" i="3"/>
  <c r="P390" i="3"/>
  <c r="I434" i="3"/>
  <c r="K438" i="3"/>
  <c r="M43" i="2"/>
  <c r="M41" i="2" s="1"/>
  <c r="M47" i="2"/>
  <c r="P47" i="2" s="1"/>
  <c r="K146" i="2"/>
  <c r="N183" i="2"/>
  <c r="N181" i="2" s="1"/>
  <c r="L217" i="2"/>
  <c r="O217" i="2" s="1"/>
  <c r="M318" i="2"/>
  <c r="P318" i="2" s="1"/>
  <c r="M23" i="3"/>
  <c r="N31" i="3"/>
  <c r="K145" i="3"/>
  <c r="P262" i="3"/>
  <c r="O282" i="3"/>
  <c r="M304" i="3"/>
  <c r="P304" i="3" s="1"/>
  <c r="N19" i="3"/>
  <c r="M318" i="3"/>
  <c r="P318" i="3" s="1"/>
  <c r="M56" i="2"/>
  <c r="N91" i="2"/>
  <c r="P91" i="2" s="1"/>
  <c r="O96" i="2"/>
  <c r="L121" i="2"/>
  <c r="O121" i="2" s="1"/>
  <c r="K216" i="2"/>
  <c r="L321" i="2"/>
  <c r="O321" i="2" s="1"/>
  <c r="M330" i="2"/>
  <c r="M328" i="2" s="1"/>
  <c r="K359" i="2"/>
  <c r="K379" i="2"/>
  <c r="K647" i="2"/>
  <c r="K700" i="2"/>
  <c r="K725" i="2"/>
  <c r="K823" i="2"/>
  <c r="K826" i="2"/>
  <c r="P58" i="3"/>
  <c r="M56" i="3"/>
  <c r="L90" i="3"/>
  <c r="I86" i="3"/>
  <c r="K86" i="3" s="1"/>
  <c r="K98" i="3"/>
  <c r="P124" i="3"/>
  <c r="M122" i="3"/>
  <c r="P122" i="3" s="1"/>
  <c r="I314" i="3"/>
  <c r="K314" i="3" s="1"/>
  <c r="L395" i="3"/>
  <c r="O395" i="3" s="1"/>
  <c r="O397" i="3"/>
  <c r="L391" i="3"/>
  <c r="L422" i="3"/>
  <c r="O422" i="3" s="1"/>
  <c r="L421" i="3"/>
  <c r="O424" i="3"/>
  <c r="I417" i="3"/>
  <c r="O503" i="3"/>
  <c r="L502" i="3"/>
  <c r="O502" i="3" s="1"/>
  <c r="O686" i="3"/>
  <c r="P157" i="3"/>
  <c r="M155" i="3"/>
  <c r="P155" i="3" s="1"/>
  <c r="P346" i="3"/>
  <c r="N351" i="3"/>
  <c r="O351" i="3" s="1"/>
  <c r="P353" i="3"/>
  <c r="O353" i="3"/>
  <c r="I208" i="2"/>
  <c r="K208" i="2" s="1"/>
  <c r="N263" i="2"/>
  <c r="N261" i="2" s="1"/>
  <c r="K271" i="2"/>
  <c r="J537" i="2"/>
  <c r="J522" i="2" s="1"/>
  <c r="K522" i="2" s="1"/>
  <c r="P54" i="3"/>
  <c r="P120" i="3"/>
  <c r="I143" i="3"/>
  <c r="P150" i="3"/>
  <c r="P154" i="3"/>
  <c r="M152" i="3"/>
  <c r="P152" i="3" s="1"/>
  <c r="L184" i="3"/>
  <c r="O184" i="3" s="1"/>
  <c r="N279" i="3"/>
  <c r="L348" i="3"/>
  <c r="O348" i="3" s="1"/>
  <c r="L347" i="3"/>
  <c r="O350" i="3"/>
  <c r="N392" i="3"/>
  <c r="N391" i="3"/>
  <c r="N389" i="3" s="1"/>
  <c r="I237" i="3"/>
  <c r="L264" i="3"/>
  <c r="L267" i="3"/>
  <c r="O267" i="3" s="1"/>
  <c r="M280" i="3"/>
  <c r="P280" i="3" s="1"/>
  <c r="M283" i="3"/>
  <c r="P283" i="3" s="1"/>
  <c r="N300" i="3"/>
  <c r="N298" i="3" s="1"/>
  <c r="K435" i="3"/>
  <c r="J433" i="3"/>
  <c r="J417" i="3" s="1"/>
  <c r="L446" i="3"/>
  <c r="L477" i="3"/>
  <c r="O477" i="3" s="1"/>
  <c r="O479" i="3"/>
  <c r="L469" i="3"/>
  <c r="O469" i="3" s="1"/>
  <c r="O557" i="3"/>
  <c r="L546" i="3"/>
  <c r="O546" i="3" s="1"/>
  <c r="L555" i="3"/>
  <c r="O555" i="3" s="1"/>
  <c r="P687" i="3"/>
  <c r="M685" i="3"/>
  <c r="P685" i="3" s="1"/>
  <c r="P738" i="3"/>
  <c r="M737" i="3"/>
  <c r="P737" i="3" s="1"/>
  <c r="P771" i="3"/>
  <c r="M770" i="3"/>
  <c r="P770" i="3" s="1"/>
  <c r="P788" i="3"/>
  <c r="M786" i="3"/>
  <c r="P786" i="3" s="1"/>
  <c r="P807" i="3"/>
  <c r="M805" i="3"/>
  <c r="P805" i="3" s="1"/>
  <c r="P93" i="3"/>
  <c r="N330" i="3"/>
  <c r="K338" i="3"/>
  <c r="N347" i="3"/>
  <c r="P350" i="3"/>
  <c r="K381" i="3"/>
  <c r="L392" i="3"/>
  <c r="O392" i="3" s="1"/>
  <c r="O394" i="3"/>
  <c r="N467" i="3"/>
  <c r="N414" i="3" s="1"/>
  <c r="P504" i="3"/>
  <c r="M502" i="3"/>
  <c r="P502" i="3" s="1"/>
  <c r="N544" i="3"/>
  <c r="J592" i="3"/>
  <c r="K592" i="3" s="1"/>
  <c r="K593" i="3"/>
  <c r="O787" i="3"/>
  <c r="I785" i="3"/>
  <c r="K785" i="3" s="1"/>
  <c r="K800" i="3"/>
  <c r="O806" i="3"/>
  <c r="L805" i="3"/>
  <c r="O805" i="3" s="1"/>
  <c r="P445" i="3"/>
  <c r="M444" i="3"/>
  <c r="P444" i="3" s="1"/>
  <c r="P469" i="3"/>
  <c r="M467" i="3"/>
  <c r="P467" i="3" s="1"/>
  <c r="O524" i="3"/>
  <c r="P755" i="3"/>
  <c r="M754" i="3"/>
  <c r="P754" i="3" s="1"/>
  <c r="K372" i="3"/>
  <c r="P403" i="3"/>
  <c r="O470" i="3"/>
  <c r="L632" i="3"/>
  <c r="O632" i="3" s="1"/>
  <c r="O634" i="3"/>
  <c r="N789" i="3"/>
  <c r="I364" i="3"/>
  <c r="O410" i="3"/>
  <c r="L408" i="3"/>
  <c r="O408" i="3" s="1"/>
  <c r="O449" i="3"/>
  <c r="O468" i="3"/>
  <c r="O472" i="3"/>
  <c r="N469" i="3"/>
  <c r="I559" i="3"/>
  <c r="K576" i="3"/>
  <c r="P630" i="3"/>
  <c r="M629" i="3"/>
  <c r="P629" i="3" s="1"/>
  <c r="O545" i="3"/>
  <c r="I654" i="3"/>
  <c r="K654" i="3" s="1"/>
  <c r="P656" i="3"/>
  <c r="K675" i="3"/>
  <c r="L533" i="3"/>
  <c r="O533" i="3" s="1"/>
  <c r="L525" i="3"/>
  <c r="O525" i="3" s="1"/>
  <c r="K669" i="3"/>
  <c r="L687" i="3"/>
  <c r="O687" i="3" s="1"/>
  <c r="O657" i="2"/>
  <c r="L655" i="2"/>
  <c r="O655" i="2" s="1"/>
  <c r="P44" i="2"/>
  <c r="O58" i="2"/>
  <c r="L134" i="2"/>
  <c r="O140" i="2"/>
  <c r="I148" i="2"/>
  <c r="K148" i="2" s="1"/>
  <c r="L151" i="2"/>
  <c r="L149" i="2" s="1"/>
  <c r="L167" i="2"/>
  <c r="L165" i="2" s="1"/>
  <c r="P173" i="2"/>
  <c r="L183" i="2"/>
  <c r="L181" i="2" s="1"/>
  <c r="P189" i="2"/>
  <c r="I197" i="2"/>
  <c r="K197" i="2" s="1"/>
  <c r="L198" i="2"/>
  <c r="O198" i="2" s="1"/>
  <c r="L249" i="2"/>
  <c r="O249" i="2" s="1"/>
  <c r="I275" i="2"/>
  <c r="K275" i="2" s="1"/>
  <c r="M279" i="2"/>
  <c r="M277" i="2" s="1"/>
  <c r="O306" i="2"/>
  <c r="L317" i="2"/>
  <c r="L330" i="2"/>
  <c r="L328" i="2" s="1"/>
  <c r="O336" i="2"/>
  <c r="O351" i="2"/>
  <c r="L391" i="2"/>
  <c r="O391" i="2" s="1"/>
  <c r="O431" i="2"/>
  <c r="L43" i="2"/>
  <c r="L41" i="2" s="1"/>
  <c r="O44" i="2"/>
  <c r="K99" i="2"/>
  <c r="M134" i="2"/>
  <c r="P134" i="2" s="1"/>
  <c r="N151" i="2"/>
  <c r="N149" i="2" s="1"/>
  <c r="P154" i="2"/>
  <c r="M167" i="2"/>
  <c r="I174" i="2"/>
  <c r="K174" i="2" s="1"/>
  <c r="M183" i="2"/>
  <c r="L238" i="2"/>
  <c r="O238" i="2" s="1"/>
  <c r="K260" i="2"/>
  <c r="M263" i="2"/>
  <c r="N279" i="2"/>
  <c r="N277" i="2" s="1"/>
  <c r="L300" i="2"/>
  <c r="O300" i="2" s="1"/>
  <c r="M317" i="2"/>
  <c r="N330" i="2"/>
  <c r="N328" i="2" s="1"/>
  <c r="L347" i="2"/>
  <c r="K355" i="2"/>
  <c r="L408" i="2"/>
  <c r="O408" i="2" s="1"/>
  <c r="L421" i="2"/>
  <c r="L419" i="2" s="1"/>
  <c r="K466" i="2"/>
  <c r="L632" i="2"/>
  <c r="O632" i="2" s="1"/>
  <c r="L658" i="2"/>
  <c r="O658" i="2" s="1"/>
  <c r="P152" i="2"/>
  <c r="J327" i="2"/>
  <c r="K327" i="2" s="1"/>
  <c r="N56" i="2"/>
  <c r="O56" i="2" s="1"/>
  <c r="P58" i="2"/>
  <c r="I77" i="2"/>
  <c r="I65" i="2" s="1"/>
  <c r="K65" i="2" s="1"/>
  <c r="M264" i="2"/>
  <c r="P264" i="2" s="1"/>
  <c r="N26" i="2"/>
  <c r="N16" i="2" s="1"/>
  <c r="N14" i="2" s="1"/>
  <c r="O49" i="2"/>
  <c r="M69" i="2"/>
  <c r="P69" i="2" s="1"/>
  <c r="P127" i="2"/>
  <c r="O137" i="2"/>
  <c r="P170" i="2"/>
  <c r="P186" i="2"/>
  <c r="L348" i="2"/>
  <c r="O348" i="2" s="1"/>
  <c r="O394" i="2"/>
  <c r="L533" i="2"/>
  <c r="O533" i="2" s="1"/>
  <c r="O535" i="2"/>
  <c r="P71" i="2"/>
  <c r="P93" i="2"/>
  <c r="L171" i="2"/>
  <c r="O171" i="2" s="1"/>
  <c r="L187" i="2"/>
  <c r="O187" i="2" s="1"/>
  <c r="O397" i="2"/>
  <c r="K674" i="2"/>
  <c r="N28" i="2"/>
  <c r="P15" i="2"/>
  <c r="N280" i="2"/>
  <c r="L12" i="2"/>
  <c r="L19" i="2"/>
  <c r="N43" i="2"/>
  <c r="O46" i="2"/>
  <c r="M72" i="2"/>
  <c r="P72" i="2" s="1"/>
  <c r="I86" i="2"/>
  <c r="K86" i="2" s="1"/>
  <c r="I112" i="2"/>
  <c r="K112" i="2" s="1"/>
  <c r="M122" i="2"/>
  <c r="P122" i="2" s="1"/>
  <c r="N134" i="2"/>
  <c r="N132" i="2" s="1"/>
  <c r="P137" i="2"/>
  <c r="J143" i="2"/>
  <c r="J131" i="2" s="1"/>
  <c r="M155" i="2"/>
  <c r="P155" i="2" s="1"/>
  <c r="O262" i="2"/>
  <c r="L267" i="2"/>
  <c r="O267" i="2" s="1"/>
  <c r="O269" i="2"/>
  <c r="M283" i="2"/>
  <c r="P283" i="2" s="1"/>
  <c r="P285" i="2"/>
  <c r="P303" i="2"/>
  <c r="M301" i="2"/>
  <c r="P301" i="2" s="1"/>
  <c r="M300" i="2"/>
  <c r="P300" i="2" s="1"/>
  <c r="L555" i="2"/>
  <c r="O555" i="2" s="1"/>
  <c r="O557" i="2"/>
  <c r="P630" i="2"/>
  <c r="M629" i="2"/>
  <c r="P629" i="2" s="1"/>
  <c r="O32" i="2"/>
  <c r="L29" i="2"/>
  <c r="L264" i="2"/>
  <c r="O264" i="2" s="1"/>
  <c r="O266" i="2"/>
  <c r="M19" i="2"/>
  <c r="P25" i="2"/>
  <c r="N31" i="2"/>
  <c r="P46" i="2"/>
  <c r="P124" i="2"/>
  <c r="O299" i="2"/>
  <c r="L447" i="2"/>
  <c r="O447" i="2" s="1"/>
  <c r="L446" i="2"/>
  <c r="O449" i="2"/>
  <c r="N12" i="2"/>
  <c r="L23" i="2"/>
  <c r="L26" i="2"/>
  <c r="L24" i="2" s="1"/>
  <c r="M34" i="2"/>
  <c r="P34" i="2" s="1"/>
  <c r="O54" i="2"/>
  <c r="L68" i="2"/>
  <c r="O68" i="2" s="1"/>
  <c r="L125" i="2"/>
  <c r="O125" i="2" s="1"/>
  <c r="K145" i="2"/>
  <c r="I143" i="2"/>
  <c r="M267" i="2"/>
  <c r="P267" i="2" s="1"/>
  <c r="M351" i="2"/>
  <c r="P351" i="2" s="1"/>
  <c r="P353" i="2"/>
  <c r="P771" i="2"/>
  <c r="M770" i="2"/>
  <c r="P770" i="2" s="1"/>
  <c r="P278" i="2"/>
  <c r="O479" i="2"/>
  <c r="L477" i="2"/>
  <c r="O477" i="2" s="1"/>
  <c r="P807" i="2"/>
  <c r="M805" i="2"/>
  <c r="P805" i="2" s="1"/>
  <c r="L15" i="2"/>
  <c r="N23" i="2"/>
  <c r="M26" i="2"/>
  <c r="M24" i="2" s="1"/>
  <c r="L33" i="2"/>
  <c r="L31" i="2" s="1"/>
  <c r="O31" i="2" s="1"/>
  <c r="K80" i="2"/>
  <c r="M90" i="2"/>
  <c r="M151" i="2"/>
  <c r="L152" i="2"/>
  <c r="O152" i="2" s="1"/>
  <c r="O154" i="2"/>
  <c r="I190" i="2"/>
  <c r="K190" i="2" s="1"/>
  <c r="O282" i="2"/>
  <c r="K288" i="2"/>
  <c r="M347" i="2"/>
  <c r="K435" i="2"/>
  <c r="J433" i="2"/>
  <c r="J417" i="2" s="1"/>
  <c r="I433" i="2"/>
  <c r="O686" i="2"/>
  <c r="M9" i="2"/>
  <c r="P33" i="2"/>
  <c r="M30" i="2"/>
  <c r="P30" i="2" s="1"/>
  <c r="M23" i="2"/>
  <c r="O71" i="2"/>
  <c r="P96" i="2"/>
  <c r="K111" i="2"/>
  <c r="P140" i="2"/>
  <c r="O150" i="2"/>
  <c r="L155" i="2"/>
  <c r="O155" i="2" s="1"/>
  <c r="O157" i="2"/>
  <c r="K255" i="2"/>
  <c r="I248" i="2"/>
  <c r="K248" i="2" s="1"/>
  <c r="L263" i="2"/>
  <c r="M280" i="2"/>
  <c r="P282" i="2"/>
  <c r="O420" i="2"/>
  <c r="L469" i="2"/>
  <c r="L467" i="2" s="1"/>
  <c r="O467" i="2" s="1"/>
  <c r="O472" i="2"/>
  <c r="L470" i="2"/>
  <c r="I233" i="2"/>
  <c r="K233" i="2" s="1"/>
  <c r="P306" i="2"/>
  <c r="M304" i="2"/>
  <c r="P304" i="2" s="1"/>
  <c r="M334" i="2"/>
  <c r="P334" i="2" s="1"/>
  <c r="P336" i="2"/>
  <c r="O346" i="2"/>
  <c r="O403" i="2"/>
  <c r="P407" i="2"/>
  <c r="M405" i="2"/>
  <c r="P405" i="2" s="1"/>
  <c r="N419" i="2"/>
  <c r="N469" i="2"/>
  <c r="N467" i="2" s="1"/>
  <c r="N470" i="2"/>
  <c r="P555" i="2"/>
  <c r="M545" i="2"/>
  <c r="O634" i="2"/>
  <c r="P788" i="2"/>
  <c r="M786" i="2"/>
  <c r="P786" i="2" s="1"/>
  <c r="I785" i="2"/>
  <c r="K785" i="2" s="1"/>
  <c r="K800" i="2"/>
  <c r="O806" i="2"/>
  <c r="L805" i="2"/>
  <c r="O805" i="2" s="1"/>
  <c r="N168" i="2"/>
  <c r="O168" i="2" s="1"/>
  <c r="N184" i="2"/>
  <c r="P184" i="2" s="1"/>
  <c r="I314" i="2"/>
  <c r="K314" i="2" s="1"/>
  <c r="O329" i="2"/>
  <c r="K362" i="2"/>
  <c r="O390" i="2"/>
  <c r="M392" i="2"/>
  <c r="P392" i="2" s="1"/>
  <c r="P394" i="2"/>
  <c r="P410" i="2"/>
  <c r="M408" i="2"/>
  <c r="P408" i="2" s="1"/>
  <c r="P445" i="2"/>
  <c r="M444" i="2"/>
  <c r="P444" i="2" s="1"/>
  <c r="K628" i="2"/>
  <c r="P755" i="2"/>
  <c r="M754" i="2"/>
  <c r="P754" i="2" s="1"/>
  <c r="O787" i="2"/>
  <c r="M348" i="2"/>
  <c r="P348" i="2" s="1"/>
  <c r="P350" i="2"/>
  <c r="J364" i="2"/>
  <c r="K365" i="2"/>
  <c r="I434" i="2"/>
  <c r="K438" i="2"/>
  <c r="N444" i="2"/>
  <c r="I443" i="2"/>
  <c r="K443" i="2" s="1"/>
  <c r="K462" i="2"/>
  <c r="L547" i="2"/>
  <c r="O547" i="2" s="1"/>
  <c r="O549" i="2"/>
  <c r="I559" i="2"/>
  <c r="K576" i="2"/>
  <c r="I237" i="2"/>
  <c r="M331" i="2"/>
  <c r="P331" i="2" s="1"/>
  <c r="P333" i="2"/>
  <c r="M395" i="2"/>
  <c r="P395" i="2" s="1"/>
  <c r="P397" i="2"/>
  <c r="M419" i="2"/>
  <c r="O422" i="2"/>
  <c r="L454" i="2"/>
  <c r="O454" i="2" s="1"/>
  <c r="O456" i="2"/>
  <c r="N631" i="2"/>
  <c r="P687" i="2"/>
  <c r="M685" i="2"/>
  <c r="P685" i="2" s="1"/>
  <c r="K723" i="2"/>
  <c r="P738" i="2"/>
  <c r="M737" i="2"/>
  <c r="P737" i="2" s="1"/>
  <c r="N789" i="2"/>
  <c r="O424" i="2"/>
  <c r="O791" i="2"/>
  <c r="K675" i="2"/>
  <c r="N505" i="2"/>
  <c r="K539" i="2"/>
  <c r="K672" i="2"/>
  <c r="L688" i="2"/>
  <c r="O688" i="2" s="1"/>
  <c r="K669" i="2"/>
  <c r="L687" i="2"/>
  <c r="O687" i="2" s="1"/>
  <c r="P137" i="1"/>
  <c r="N230" i="1"/>
  <c r="J729" i="1"/>
  <c r="K729" i="1" s="1"/>
  <c r="K723" i="1"/>
  <c r="J194" i="1"/>
  <c r="K214" i="1"/>
  <c r="K644" i="1"/>
  <c r="K647" i="1"/>
  <c r="I233" i="1"/>
  <c r="K369" i="1"/>
  <c r="L555" i="1"/>
  <c r="O555" i="1" s="1"/>
  <c r="O125" i="1"/>
  <c r="K537" i="1"/>
  <c r="K826" i="1"/>
  <c r="L151" i="1"/>
  <c r="L149" i="1" s="1"/>
  <c r="M171" i="1"/>
  <c r="P171" i="1" s="1"/>
  <c r="O173" i="1"/>
  <c r="L263" i="1"/>
  <c r="L261" i="1" s="1"/>
  <c r="M47" i="1"/>
  <c r="P47" i="1" s="1"/>
  <c r="M55" i="1"/>
  <c r="M53" i="1" s="1"/>
  <c r="K628" i="1"/>
  <c r="K207" i="1"/>
  <c r="L300" i="1"/>
  <c r="L298" i="1" s="1"/>
  <c r="M404" i="1"/>
  <c r="P404" i="1" s="1"/>
  <c r="L121" i="1"/>
  <c r="L119" i="1" s="1"/>
  <c r="J583" i="1"/>
  <c r="J577" i="1" s="1"/>
  <c r="K577" i="1" s="1"/>
  <c r="K827" i="1"/>
  <c r="L36" i="1"/>
  <c r="O36" i="1" s="1"/>
  <c r="K79" i="1"/>
  <c r="K82" i="1"/>
  <c r="K370" i="1"/>
  <c r="L152" i="1"/>
  <c r="O152" i="1" s="1"/>
  <c r="K246" i="1"/>
  <c r="L229" i="1"/>
  <c r="N330" i="1"/>
  <c r="N328" i="1" s="1"/>
  <c r="L421" i="1"/>
  <c r="L419" i="1" s="1"/>
  <c r="O431" i="1"/>
  <c r="K489" i="1"/>
  <c r="I522" i="1"/>
  <c r="K522" i="1" s="1"/>
  <c r="N90" i="1"/>
  <c r="N88" i="1" s="1"/>
  <c r="M155" i="1"/>
  <c r="P155" i="1" s="1"/>
  <c r="L231" i="1"/>
  <c r="I236" i="1"/>
  <c r="N300" i="1"/>
  <c r="N298" i="1" s="1"/>
  <c r="N228" i="1"/>
  <c r="N231" i="1"/>
  <c r="J236" i="1"/>
  <c r="O282" i="1"/>
  <c r="K309" i="1"/>
  <c r="K312" i="1"/>
  <c r="L392" i="1"/>
  <c r="O392" i="1" s="1"/>
  <c r="M395" i="1"/>
  <c r="P395" i="1" s="1"/>
  <c r="K442" i="1"/>
  <c r="K257" i="1"/>
  <c r="I235" i="1"/>
  <c r="K443" i="1"/>
  <c r="L533" i="1"/>
  <c r="O533" i="1" s="1"/>
  <c r="K204" i="1"/>
  <c r="I197" i="1"/>
  <c r="K197" i="1" s="1"/>
  <c r="K144" i="1"/>
  <c r="P323" i="1"/>
  <c r="M321" i="1"/>
  <c r="P321" i="1" s="1"/>
  <c r="O96" i="1"/>
  <c r="L94" i="1"/>
  <c r="O94" i="1" s="1"/>
  <c r="P285" i="1"/>
  <c r="M283" i="1"/>
  <c r="P283" i="1" s="1"/>
  <c r="O74" i="1"/>
  <c r="L72" i="1"/>
  <c r="O72" i="1" s="1"/>
  <c r="M280" i="1"/>
  <c r="P280" i="1" s="1"/>
  <c r="M279" i="1"/>
  <c r="M277" i="1" s="1"/>
  <c r="K81" i="1"/>
  <c r="K84" i="1"/>
  <c r="K113" i="1"/>
  <c r="K116" i="1"/>
  <c r="M135" i="1"/>
  <c r="P135" i="1" s="1"/>
  <c r="K146" i="1"/>
  <c r="N167" i="1"/>
  <c r="N165" i="1" s="1"/>
  <c r="O186" i="1"/>
  <c r="L230" i="1"/>
  <c r="J327" i="1"/>
  <c r="K327" i="1" s="1"/>
  <c r="O353" i="1"/>
  <c r="J595" i="1"/>
  <c r="K671" i="1"/>
  <c r="K801" i="1"/>
  <c r="K822" i="1"/>
  <c r="K828" i="1"/>
  <c r="L167" i="1"/>
  <c r="L165" i="1" s="1"/>
  <c r="O350" i="1"/>
  <c r="K487" i="1"/>
  <c r="K649" i="1"/>
  <c r="K726" i="1"/>
  <c r="N263" i="1"/>
  <c r="N261" i="1" s="1"/>
  <c r="K290" i="1"/>
  <c r="P334" i="1"/>
  <c r="N229" i="1"/>
  <c r="J233" i="1"/>
  <c r="L55" i="1"/>
  <c r="L53" i="1" s="1"/>
  <c r="M72" i="1"/>
  <c r="P72" i="1" s="1"/>
  <c r="J100" i="1"/>
  <c r="K100" i="1" s="1"/>
  <c r="L330" i="1"/>
  <c r="L328" i="1" s="1"/>
  <c r="L33" i="1"/>
  <c r="L31" i="1" s="1"/>
  <c r="K541" i="1"/>
  <c r="J679" i="1"/>
  <c r="J678" i="1" s="1"/>
  <c r="J112" i="1"/>
  <c r="K159" i="1"/>
  <c r="N317" i="1"/>
  <c r="N315" i="1" s="1"/>
  <c r="P348" i="1"/>
  <c r="P353" i="1"/>
  <c r="K359" i="1"/>
  <c r="J466" i="1"/>
  <c r="K466" i="1" s="1"/>
  <c r="K538" i="1"/>
  <c r="J568" i="1"/>
  <c r="K568" i="1" s="1"/>
  <c r="J603" i="1"/>
  <c r="N660" i="1"/>
  <c r="N657" i="1" s="1"/>
  <c r="K699" i="1"/>
  <c r="J708" i="1"/>
  <c r="K708" i="1" s="1"/>
  <c r="K720" i="1"/>
  <c r="P46" i="1"/>
  <c r="O71" i="1"/>
  <c r="K372" i="1"/>
  <c r="J434" i="1"/>
  <c r="J418" i="1" s="1"/>
  <c r="J596" i="1"/>
  <c r="I785" i="1"/>
  <c r="K821" i="1"/>
  <c r="K824" i="1"/>
  <c r="K104" i="1"/>
  <c r="K109" i="1"/>
  <c r="P127" i="1"/>
  <c r="L134" i="1"/>
  <c r="L132" i="1" s="1"/>
  <c r="M151" i="1"/>
  <c r="M149" i="1" s="1"/>
  <c r="N183" i="1"/>
  <c r="N181" i="1" s="1"/>
  <c r="L238" i="1"/>
  <c r="K291" i="1"/>
  <c r="K338" i="1"/>
  <c r="N347" i="1"/>
  <c r="N345" i="1" s="1"/>
  <c r="P350" i="1"/>
  <c r="K360" i="1"/>
  <c r="K438" i="1"/>
  <c r="K643" i="1"/>
  <c r="L657" i="1"/>
  <c r="L655" i="1" s="1"/>
  <c r="K700" i="1"/>
  <c r="K276" i="1"/>
  <c r="O320" i="1"/>
  <c r="L122" i="1"/>
  <c r="O122" i="1" s="1"/>
  <c r="N134" i="1"/>
  <c r="N132" i="1" s="1"/>
  <c r="P140" i="1"/>
  <c r="P152" i="1"/>
  <c r="L155" i="1"/>
  <c r="O155" i="1" s="1"/>
  <c r="M187" i="1"/>
  <c r="P187" i="1" s="1"/>
  <c r="K225" i="1"/>
  <c r="K288" i="1"/>
  <c r="K340" i="1"/>
  <c r="K379" i="1"/>
  <c r="L408" i="1"/>
  <c r="O408" i="1" s="1"/>
  <c r="L334" i="1"/>
  <c r="O334" i="1" s="1"/>
  <c r="J721" i="1"/>
  <c r="K721" i="1" s="1"/>
  <c r="M68" i="1"/>
  <c r="M66" i="1" s="1"/>
  <c r="P71" i="1"/>
  <c r="J77" i="1"/>
  <c r="J65" i="1" s="1"/>
  <c r="L90" i="1"/>
  <c r="O93" i="1"/>
  <c r="K99" i="1"/>
  <c r="K103" i="1"/>
  <c r="K107" i="1"/>
  <c r="K111" i="1"/>
  <c r="I112" i="1"/>
  <c r="M121" i="1"/>
  <c r="M119" i="1" s="1"/>
  <c r="M134" i="1"/>
  <c r="K145" i="1"/>
  <c r="J237" i="1"/>
  <c r="J226" i="1" s="1"/>
  <c r="J180" i="1" s="1"/>
  <c r="L249" i="1"/>
  <c r="O249" i="1" s="1"/>
  <c r="N264" i="1"/>
  <c r="P264" i="1" s="1"/>
  <c r="M267" i="1"/>
  <c r="P267" i="1" s="1"/>
  <c r="N279" i="1"/>
  <c r="P282" i="1"/>
  <c r="K293" i="1"/>
  <c r="N301" i="1"/>
  <c r="P301" i="1" s="1"/>
  <c r="M304" i="1"/>
  <c r="P304" i="1" s="1"/>
  <c r="K311" i="1"/>
  <c r="L317" i="1"/>
  <c r="K325" i="1"/>
  <c r="M347" i="1"/>
  <c r="L351" i="1"/>
  <c r="O351" i="1" s="1"/>
  <c r="K362" i="1"/>
  <c r="K378" i="1"/>
  <c r="K381" i="1"/>
  <c r="M391" i="1"/>
  <c r="L405" i="1"/>
  <c r="O405" i="1" s="1"/>
  <c r="N472" i="1"/>
  <c r="N469" i="1" s="1"/>
  <c r="N467" i="1" s="1"/>
  <c r="J465" i="1"/>
  <c r="K465" i="1" s="1"/>
  <c r="L526" i="1"/>
  <c r="K542" i="1"/>
  <c r="J569" i="1"/>
  <c r="K569" i="1" s="1"/>
  <c r="J582" i="1"/>
  <c r="J576" i="1" s="1"/>
  <c r="J559" i="1" s="1"/>
  <c r="J543" i="1" s="1"/>
  <c r="K543" i="1" s="1"/>
  <c r="J621" i="1"/>
  <c r="K621" i="1" s="1"/>
  <c r="N634" i="1"/>
  <c r="N631" i="1" s="1"/>
  <c r="N629" i="1" s="1"/>
  <c r="K651" i="1"/>
  <c r="L688" i="1"/>
  <c r="L789" i="1"/>
  <c r="L135" i="1"/>
  <c r="O135" i="1" s="1"/>
  <c r="M23" i="1"/>
  <c r="M13" i="1" s="1"/>
  <c r="M26" i="1"/>
  <c r="M16" i="1" s="1"/>
  <c r="M14" i="1" s="1"/>
  <c r="L43" i="1"/>
  <c r="L41" i="1" s="1"/>
  <c r="L23" i="1"/>
  <c r="L21" i="1" s="1"/>
  <c r="M56" i="1"/>
  <c r="P56" i="1" s="1"/>
  <c r="L59" i="1"/>
  <c r="O59" i="1" s="1"/>
  <c r="L69" i="1"/>
  <c r="N68" i="1"/>
  <c r="N66" i="1" s="1"/>
  <c r="K80" i="1"/>
  <c r="K83" i="1"/>
  <c r="M90" i="1"/>
  <c r="M88" i="1" s="1"/>
  <c r="P93" i="1"/>
  <c r="N121" i="1"/>
  <c r="O127" i="1"/>
  <c r="P170" i="1"/>
  <c r="K193" i="1"/>
  <c r="K206" i="1"/>
  <c r="L217" i="1"/>
  <c r="K223" i="1"/>
  <c r="N249" i="1"/>
  <c r="K294" i="1"/>
  <c r="M317" i="1"/>
  <c r="M351" i="1"/>
  <c r="P351" i="1" s="1"/>
  <c r="K374" i="1"/>
  <c r="M405" i="1"/>
  <c r="P405" i="1" s="1"/>
  <c r="P407" i="1"/>
  <c r="J701" i="1"/>
  <c r="K701" i="1" s="1"/>
  <c r="K87" i="1"/>
  <c r="P138" i="1"/>
  <c r="J364" i="1"/>
  <c r="M43" i="1"/>
  <c r="M41" i="1" s="1"/>
  <c r="O137" i="1"/>
  <c r="K190" i="1"/>
  <c r="K271" i="1"/>
  <c r="O336" i="1"/>
  <c r="N449" i="1"/>
  <c r="N447" i="1" s="1"/>
  <c r="K485" i="1"/>
  <c r="N528" i="1"/>
  <c r="N526" i="1" s="1"/>
  <c r="N549" i="1"/>
  <c r="O549" i="1" s="1"/>
  <c r="N690" i="1"/>
  <c r="N688" i="1" s="1"/>
  <c r="K728" i="1"/>
  <c r="N791" i="1"/>
  <c r="N789" i="1" s="1"/>
  <c r="L187" i="1"/>
  <c r="O187" i="1" s="1"/>
  <c r="O46" i="1"/>
  <c r="I76" i="1"/>
  <c r="I64" i="1" s="1"/>
  <c r="M122" i="1"/>
  <c r="P122" i="1" s="1"/>
  <c r="O140" i="1"/>
  <c r="N168" i="1"/>
  <c r="O168" i="1" s="1"/>
  <c r="L184" i="1"/>
  <c r="O184" i="1" s="1"/>
  <c r="N198" i="1"/>
  <c r="N209" i="1"/>
  <c r="N238" i="1"/>
  <c r="M263" i="1"/>
  <c r="O266" i="1"/>
  <c r="I275" i="1"/>
  <c r="K275" i="1" s="1"/>
  <c r="M300" i="1"/>
  <c r="O303" i="1"/>
  <c r="L318" i="1"/>
  <c r="O318" i="1" s="1"/>
  <c r="L348" i="1"/>
  <c r="O348" i="1" s="1"/>
  <c r="M392" i="1"/>
  <c r="P392" i="1" s="1"/>
  <c r="M408" i="1"/>
  <c r="P408" i="1" s="1"/>
  <c r="N424" i="1"/>
  <c r="N421" i="1" s="1"/>
  <c r="K460" i="1"/>
  <c r="L525" i="1"/>
  <c r="L523" i="1" s="1"/>
  <c r="J560" i="1"/>
  <c r="K560" i="1" s="1"/>
  <c r="L631" i="1"/>
  <c r="P32" i="1"/>
  <c r="L44" i="1"/>
  <c r="M44" i="1"/>
  <c r="L47" i="1"/>
  <c r="O47" i="1" s="1"/>
  <c r="N26" i="1"/>
  <c r="N16" i="1" s="1"/>
  <c r="N14" i="1" s="1"/>
  <c r="J76" i="1"/>
  <c r="J64" i="1" s="1"/>
  <c r="M94" i="1"/>
  <c r="P94" i="1" s="1"/>
  <c r="K102" i="1"/>
  <c r="K106" i="1"/>
  <c r="K110" i="1"/>
  <c r="K114" i="1"/>
  <c r="K118" i="1"/>
  <c r="M125" i="1"/>
  <c r="P125" i="1" s="1"/>
  <c r="I130" i="1"/>
  <c r="K130" i="1" s="1"/>
  <c r="L138" i="1"/>
  <c r="O138" i="1" s="1"/>
  <c r="I148" i="1"/>
  <c r="K148" i="1" s="1"/>
  <c r="O191" i="1"/>
  <c r="N217" i="1"/>
  <c r="K244" i="1"/>
  <c r="J260" i="1"/>
  <c r="K260" i="1" s="1"/>
  <c r="P266" i="1"/>
  <c r="L279" i="1"/>
  <c r="K287" i="1"/>
  <c r="P303" i="1"/>
  <c r="K310" i="1"/>
  <c r="K314" i="1"/>
  <c r="L321" i="1"/>
  <c r="O321" i="1" s="1"/>
  <c r="M330" i="1"/>
  <c r="O333" i="1"/>
  <c r="I364" i="1"/>
  <c r="K385" i="1"/>
  <c r="L395" i="1"/>
  <c r="O395" i="1" s="1"/>
  <c r="K498" i="1"/>
  <c r="J604" i="1"/>
  <c r="O641" i="1"/>
  <c r="J675" i="1"/>
  <c r="O56" i="1"/>
  <c r="P59" i="1"/>
  <c r="K86" i="1"/>
  <c r="K224" i="1"/>
  <c r="I216" i="1"/>
  <c r="K216" i="1" s="1"/>
  <c r="O58" i="1"/>
  <c r="O61" i="1"/>
  <c r="L68" i="1"/>
  <c r="J208" i="1"/>
  <c r="K208" i="1" s="1"/>
  <c r="K215" i="1"/>
  <c r="L29" i="1"/>
  <c r="M30" i="1"/>
  <c r="P30" i="1" s="1"/>
  <c r="N55" i="1"/>
  <c r="L26" i="1"/>
  <c r="M34" i="1"/>
  <c r="P34" i="1" s="1"/>
  <c r="N44" i="1"/>
  <c r="N47" i="1"/>
  <c r="P58" i="1"/>
  <c r="P61" i="1"/>
  <c r="N69" i="1"/>
  <c r="P69" i="1" s="1"/>
  <c r="K78" i="1"/>
  <c r="N91" i="1"/>
  <c r="O91" i="1" s="1"/>
  <c r="K98" i="1"/>
  <c r="K115" i="1"/>
  <c r="I143" i="1"/>
  <c r="N151" i="1"/>
  <c r="O154" i="1"/>
  <c r="M167" i="1"/>
  <c r="O170" i="1"/>
  <c r="P184" i="1"/>
  <c r="P186" i="1"/>
  <c r="N43" i="1"/>
  <c r="I77" i="1"/>
  <c r="P154" i="1"/>
  <c r="K176" i="1"/>
  <c r="I174" i="1"/>
  <c r="P182" i="1"/>
  <c r="L198" i="1"/>
  <c r="P419" i="1"/>
  <c r="L12" i="1"/>
  <c r="L19" i="1"/>
  <c r="L183" i="1"/>
  <c r="L209" i="1"/>
  <c r="J235" i="1"/>
  <c r="N23" i="1"/>
  <c r="M12" i="1"/>
  <c r="M19" i="1"/>
  <c r="N12" i="1"/>
  <c r="M168" i="1"/>
  <c r="M183" i="1"/>
  <c r="L228" i="1"/>
  <c r="P318" i="1"/>
  <c r="I237" i="1"/>
  <c r="I248" i="1"/>
  <c r="K248" i="1" s="1"/>
  <c r="P262" i="1"/>
  <c r="L264" i="1"/>
  <c r="L267" i="1"/>
  <c r="O267" i="1" s="1"/>
  <c r="P278" i="1"/>
  <c r="L280" i="1"/>
  <c r="O280" i="1" s="1"/>
  <c r="L283" i="1"/>
  <c r="O283" i="1" s="1"/>
  <c r="I297" i="1"/>
  <c r="K297" i="1" s="1"/>
  <c r="L301" i="1"/>
  <c r="L304" i="1"/>
  <c r="O304" i="1" s="1"/>
  <c r="P320" i="1"/>
  <c r="N331" i="1"/>
  <c r="O331" i="1" s="1"/>
  <c r="K355" i="1"/>
  <c r="K433" i="1"/>
  <c r="I417" i="1"/>
  <c r="K417" i="1" s="1"/>
  <c r="K437" i="1"/>
  <c r="K440" i="1"/>
  <c r="K492" i="1"/>
  <c r="J620" i="1"/>
  <c r="K620" i="1" s="1"/>
  <c r="N739" i="1"/>
  <c r="N737" i="1" s="1"/>
  <c r="N740" i="1"/>
  <c r="K823" i="1"/>
  <c r="L447" i="1"/>
  <c r="L470" i="1"/>
  <c r="K803" i="1"/>
  <c r="J785" i="1"/>
  <c r="P806" i="1"/>
  <c r="M805" i="1"/>
  <c r="P805" i="1" s="1"/>
  <c r="P336" i="1"/>
  <c r="L391" i="1"/>
  <c r="L404" i="1"/>
  <c r="I434" i="1"/>
  <c r="O456" i="1"/>
  <c r="O479" i="1"/>
  <c r="K495" i="1"/>
  <c r="O545" i="1"/>
  <c r="N772" i="1"/>
  <c r="N770" i="1" s="1"/>
  <c r="N773" i="1"/>
  <c r="P333" i="1"/>
  <c r="L347" i="1"/>
  <c r="K365" i="1"/>
  <c r="I388" i="1"/>
  <c r="K388" i="1" s="1"/>
  <c r="I401" i="1"/>
  <c r="K401" i="1" s="1"/>
  <c r="P421" i="1"/>
  <c r="L422" i="1"/>
  <c r="O468" i="1"/>
  <c r="J561" i="1"/>
  <c r="K561" i="1" s="1"/>
  <c r="O630" i="1"/>
  <c r="K674" i="1"/>
  <c r="K672" i="1"/>
  <c r="N391" i="1"/>
  <c r="N389" i="1" s="1"/>
  <c r="N404" i="1"/>
  <c r="N402" i="1" s="1"/>
  <c r="K435" i="1"/>
  <c r="K439" i="1"/>
  <c r="L446" i="1"/>
  <c r="K462" i="1"/>
  <c r="L469" i="1"/>
  <c r="K483" i="1"/>
  <c r="M502" i="1"/>
  <c r="P502" i="1" s="1"/>
  <c r="P503" i="1"/>
  <c r="P524" i="1"/>
  <c r="M523" i="1"/>
  <c r="P523" i="1" s="1"/>
  <c r="I592" i="1"/>
  <c r="M629" i="1"/>
  <c r="P629" i="1" s="1"/>
  <c r="I654" i="1"/>
  <c r="K670" i="1"/>
  <c r="K725" i="1"/>
  <c r="J722" i="1"/>
  <c r="K722" i="1" s="1"/>
  <c r="L754" i="1"/>
  <c r="O754" i="1" s="1"/>
  <c r="N756" i="1"/>
  <c r="N754" i="1" s="1"/>
  <c r="N757" i="1"/>
  <c r="K825" i="1"/>
  <c r="K247" i="1"/>
  <c r="K673" i="1"/>
  <c r="L546" i="1"/>
  <c r="O66" i="21" l="1"/>
  <c r="L28" i="21"/>
  <c r="O28" i="21" s="1"/>
  <c r="N37" i="21"/>
  <c r="P24" i="21"/>
  <c r="L414" i="21"/>
  <c r="O414" i="21" s="1"/>
  <c r="O41" i="21"/>
  <c r="P41" i="21"/>
  <c r="P13" i="21"/>
  <c r="O21" i="21"/>
  <c r="O11" i="21"/>
  <c r="L37" i="21"/>
  <c r="P16" i="21"/>
  <c r="M37" i="21"/>
  <c r="K226" i="21"/>
  <c r="I180" i="21"/>
  <c r="K180" i="21" s="1"/>
  <c r="P9" i="21"/>
  <c r="N10" i="21"/>
  <c r="N8" i="21" s="1"/>
  <c r="O24" i="21"/>
  <c r="O16" i="21"/>
  <c r="L14" i="21"/>
  <c r="O14" i="21" s="1"/>
  <c r="M14" i="21"/>
  <c r="P14" i="21" s="1"/>
  <c r="O13" i="21"/>
  <c r="L10" i="21"/>
  <c r="L8" i="21" s="1"/>
  <c r="M10" i="21"/>
  <c r="M8" i="21" s="1"/>
  <c r="O20" i="21"/>
  <c r="L18" i="21"/>
  <c r="O18" i="21" s="1"/>
  <c r="P20" i="21"/>
  <c r="M18" i="21"/>
  <c r="P18" i="21" s="1"/>
  <c r="O9" i="21"/>
  <c r="K785" i="20"/>
  <c r="L655" i="4"/>
  <c r="O655" i="4" s="1"/>
  <c r="L786" i="3"/>
  <c r="O786" i="3" s="1"/>
  <c r="M402" i="14"/>
  <c r="P402" i="14" s="1"/>
  <c r="K364" i="19"/>
  <c r="O55" i="20"/>
  <c r="O279" i="15"/>
  <c r="P279" i="20"/>
  <c r="L315" i="19"/>
  <c r="O315" i="19" s="1"/>
  <c r="L119" i="19"/>
  <c r="O119" i="19" s="1"/>
  <c r="O469" i="20"/>
  <c r="K77" i="19"/>
  <c r="O546" i="16"/>
  <c r="O44" i="8"/>
  <c r="K364" i="11"/>
  <c r="O347" i="15"/>
  <c r="O56" i="14"/>
  <c r="K433" i="18"/>
  <c r="O263" i="17"/>
  <c r="P167" i="18"/>
  <c r="I418" i="20"/>
  <c r="K418" i="20" s="1"/>
  <c r="O300" i="11"/>
  <c r="L227" i="20"/>
  <c r="P300" i="11"/>
  <c r="L132" i="19"/>
  <c r="O132" i="19" s="1"/>
  <c r="O631" i="13"/>
  <c r="O183" i="17"/>
  <c r="O151" i="19"/>
  <c r="L629" i="20"/>
  <c r="O629" i="20" s="1"/>
  <c r="O90" i="11"/>
  <c r="L31" i="15"/>
  <c r="O31" i="15" s="1"/>
  <c r="K417" i="19"/>
  <c r="P183" i="17"/>
  <c r="P91" i="4"/>
  <c r="P90" i="13"/>
  <c r="P69" i="17"/>
  <c r="L523" i="19"/>
  <c r="O523" i="19" s="1"/>
  <c r="L119" i="20"/>
  <c r="O119" i="20" s="1"/>
  <c r="L66" i="13"/>
  <c r="O66" i="13" s="1"/>
  <c r="L629" i="8"/>
  <c r="O629" i="8" s="1"/>
  <c r="K434" i="19"/>
  <c r="M119" i="20"/>
  <c r="P119" i="20" s="1"/>
  <c r="M66" i="16"/>
  <c r="P66" i="16" s="1"/>
  <c r="P90" i="17"/>
  <c r="L31" i="17"/>
  <c r="O31" i="17" s="1"/>
  <c r="O345" i="17"/>
  <c r="O347" i="17"/>
  <c r="M132" i="19"/>
  <c r="P132" i="19" s="1"/>
  <c r="L402" i="18"/>
  <c r="O402" i="18" s="1"/>
  <c r="L629" i="17"/>
  <c r="O629" i="17" s="1"/>
  <c r="P168" i="19"/>
  <c r="P347" i="17"/>
  <c r="L402" i="19"/>
  <c r="O402" i="19" s="1"/>
  <c r="O546" i="20"/>
  <c r="M119" i="17"/>
  <c r="P119" i="17" s="1"/>
  <c r="P347" i="18"/>
  <c r="L34" i="20"/>
  <c r="O34" i="20" s="1"/>
  <c r="O632" i="19"/>
  <c r="O301" i="20"/>
  <c r="P53" i="20"/>
  <c r="O88" i="19"/>
  <c r="P55" i="20"/>
  <c r="P55" i="19"/>
  <c r="M389" i="17"/>
  <c r="P389" i="17" s="1"/>
  <c r="L34" i="14"/>
  <c r="O34" i="14" s="1"/>
  <c r="K275" i="17"/>
  <c r="O68" i="19"/>
  <c r="O167" i="19"/>
  <c r="L53" i="20"/>
  <c r="O53" i="20" s="1"/>
  <c r="P68" i="18"/>
  <c r="O347" i="2"/>
  <c r="N345" i="18"/>
  <c r="P345" i="18" s="1"/>
  <c r="L149" i="19"/>
  <c r="O149" i="19" s="1"/>
  <c r="P261" i="20"/>
  <c r="O68" i="20"/>
  <c r="P66" i="19"/>
  <c r="P26" i="20"/>
  <c r="O68" i="18"/>
  <c r="K417" i="20"/>
  <c r="L419" i="15"/>
  <c r="O419" i="15" s="1"/>
  <c r="K434" i="18"/>
  <c r="P44" i="19"/>
  <c r="P391" i="20"/>
  <c r="I543" i="11"/>
  <c r="K543" i="11" s="1"/>
  <c r="P167" i="16"/>
  <c r="M21" i="18"/>
  <c r="P21" i="18" s="1"/>
  <c r="O279" i="20"/>
  <c r="L523" i="18"/>
  <c r="O523" i="18" s="1"/>
  <c r="L389" i="19"/>
  <c r="O389" i="19" s="1"/>
  <c r="O347" i="19"/>
  <c r="K433" i="20"/>
  <c r="M315" i="20"/>
  <c r="P315" i="20" s="1"/>
  <c r="O261" i="20"/>
  <c r="I164" i="20"/>
  <c r="K164" i="20" s="1"/>
  <c r="O280" i="11"/>
  <c r="P167" i="14"/>
  <c r="P330" i="19"/>
  <c r="N277" i="20"/>
  <c r="P277" i="20" s="1"/>
  <c r="K434" i="11"/>
  <c r="P404" i="19"/>
  <c r="N24" i="19"/>
  <c r="O43" i="11"/>
  <c r="L132" i="14"/>
  <c r="O132" i="14" s="1"/>
  <c r="O279" i="14"/>
  <c r="K76" i="15"/>
  <c r="P43" i="18"/>
  <c r="K275" i="18"/>
  <c r="N14" i="19"/>
  <c r="M24" i="20"/>
  <c r="P167" i="20"/>
  <c r="P300" i="20"/>
  <c r="P279" i="7"/>
  <c r="K417" i="11"/>
  <c r="P391" i="14"/>
  <c r="M402" i="16"/>
  <c r="P402" i="16" s="1"/>
  <c r="O348" i="17"/>
  <c r="I164" i="17"/>
  <c r="K164" i="17" s="1"/>
  <c r="P132" i="17"/>
  <c r="M149" i="18"/>
  <c r="P149" i="18" s="1"/>
  <c r="M389" i="19"/>
  <c r="P389" i="19" s="1"/>
  <c r="P90" i="19"/>
  <c r="O300" i="20"/>
  <c r="K785" i="12"/>
  <c r="L34" i="15"/>
  <c r="O34" i="15" s="1"/>
  <c r="O469" i="16"/>
  <c r="O43" i="18"/>
  <c r="P298" i="20"/>
  <c r="O69" i="20"/>
  <c r="P298" i="5"/>
  <c r="M132" i="14"/>
  <c r="P132" i="14" s="1"/>
  <c r="O55" i="14"/>
  <c r="O330" i="15"/>
  <c r="P90" i="15"/>
  <c r="P68" i="14"/>
  <c r="O467" i="16"/>
  <c r="O134" i="17"/>
  <c r="L41" i="18"/>
  <c r="O41" i="18" s="1"/>
  <c r="L655" i="19"/>
  <c r="O655" i="19" s="1"/>
  <c r="M53" i="19"/>
  <c r="P53" i="19" s="1"/>
  <c r="O33" i="16"/>
  <c r="K654" i="17"/>
  <c r="O90" i="17"/>
  <c r="P298" i="16"/>
  <c r="P44" i="17"/>
  <c r="M119" i="19"/>
  <c r="P119" i="19" s="1"/>
  <c r="O90" i="19"/>
  <c r="M402" i="20"/>
  <c r="P402" i="20" s="1"/>
  <c r="L277" i="20"/>
  <c r="O56" i="20"/>
  <c r="L66" i="20"/>
  <c r="O66" i="20" s="1"/>
  <c r="P347" i="20"/>
  <c r="L132" i="20"/>
  <c r="O132" i="20" s="1"/>
  <c r="P279" i="14"/>
  <c r="O181" i="20"/>
  <c r="K275" i="20"/>
  <c r="K288" i="20"/>
  <c r="O55" i="19"/>
  <c r="P165" i="20"/>
  <c r="P21" i="20"/>
  <c r="P56" i="16"/>
  <c r="K364" i="18"/>
  <c r="M315" i="18"/>
  <c r="P315" i="18" s="1"/>
  <c r="P277" i="17"/>
  <c r="P348" i="18"/>
  <c r="L444" i="20"/>
  <c r="O444" i="20" s="1"/>
  <c r="O446" i="20"/>
  <c r="P181" i="20"/>
  <c r="P301" i="16"/>
  <c r="O300" i="15"/>
  <c r="P263" i="19"/>
  <c r="L149" i="20"/>
  <c r="O149" i="20" s="1"/>
  <c r="O279" i="19"/>
  <c r="I64" i="20"/>
  <c r="K64" i="20" s="1"/>
  <c r="K76" i="20"/>
  <c r="O404" i="20"/>
  <c r="L402" i="20"/>
  <c r="O402" i="20" s="1"/>
  <c r="O263" i="20"/>
  <c r="O183" i="20"/>
  <c r="M277" i="14"/>
  <c r="P277" i="14" s="1"/>
  <c r="O300" i="16"/>
  <c r="L16" i="18"/>
  <c r="L14" i="18" s="1"/>
  <c r="O43" i="20"/>
  <c r="O261" i="19"/>
  <c r="L30" i="20"/>
  <c r="O167" i="20"/>
  <c r="L165" i="20"/>
  <c r="O165" i="20" s="1"/>
  <c r="P263" i="20"/>
  <c r="P183" i="20"/>
  <c r="O525" i="20"/>
  <c r="L523" i="20"/>
  <c r="O523" i="20" s="1"/>
  <c r="P151" i="12"/>
  <c r="N345" i="20"/>
  <c r="P345" i="20" s="1"/>
  <c r="O151" i="12"/>
  <c r="L419" i="14"/>
  <c r="O419" i="14" s="1"/>
  <c r="O183" i="16"/>
  <c r="L786" i="19"/>
  <c r="O786" i="19" s="1"/>
  <c r="L31" i="20"/>
  <c r="O31" i="20" s="1"/>
  <c r="L298" i="20"/>
  <c r="O298" i="20" s="1"/>
  <c r="O330" i="20"/>
  <c r="O317" i="20"/>
  <c r="L315" i="20"/>
  <c r="O315" i="20" s="1"/>
  <c r="L165" i="17"/>
  <c r="O165" i="17" s="1"/>
  <c r="O351" i="18"/>
  <c r="L544" i="18"/>
  <c r="O544" i="18" s="1"/>
  <c r="P134" i="17"/>
  <c r="P391" i="18"/>
  <c r="O263" i="19"/>
  <c r="M315" i="19"/>
  <c r="P315" i="19" s="1"/>
  <c r="M544" i="20"/>
  <c r="P544" i="20" s="1"/>
  <c r="P545" i="20"/>
  <c r="O687" i="20"/>
  <c r="O632" i="20"/>
  <c r="P23" i="20"/>
  <c r="M20" i="20"/>
  <c r="M18" i="20" s="1"/>
  <c r="M13" i="20"/>
  <c r="M11" i="20" s="1"/>
  <c r="O41" i="20"/>
  <c r="I131" i="20"/>
  <c r="K131" i="20" s="1"/>
  <c r="K143" i="20"/>
  <c r="K77" i="20"/>
  <c r="I65" i="20"/>
  <c r="K65" i="20" s="1"/>
  <c r="L9" i="20"/>
  <c r="O12" i="20"/>
  <c r="O68" i="8"/>
  <c r="O183" i="8"/>
  <c r="L523" i="9"/>
  <c r="O523" i="9" s="1"/>
  <c r="M402" i="10"/>
  <c r="P402" i="10" s="1"/>
  <c r="P151" i="14"/>
  <c r="O330" i="18"/>
  <c r="O31" i="19"/>
  <c r="O544" i="20"/>
  <c r="O421" i="20"/>
  <c r="M9" i="20"/>
  <c r="P12" i="20"/>
  <c r="M149" i="20"/>
  <c r="P149" i="20" s="1"/>
  <c r="P29" i="20"/>
  <c r="M28" i="20"/>
  <c r="P28" i="20" s="1"/>
  <c r="O19" i="20"/>
  <c r="O300" i="12"/>
  <c r="M315" i="14"/>
  <c r="P315" i="14" s="1"/>
  <c r="O419" i="20"/>
  <c r="N88" i="20"/>
  <c r="P90" i="20"/>
  <c r="M132" i="20"/>
  <c r="P132" i="20" s="1"/>
  <c r="P134" i="20"/>
  <c r="K76" i="19"/>
  <c r="I64" i="19"/>
  <c r="K64" i="19" s="1"/>
  <c r="P330" i="20"/>
  <c r="N328" i="20"/>
  <c r="O328" i="20" s="1"/>
  <c r="P68" i="20"/>
  <c r="M66" i="20"/>
  <c r="P66" i="20" s="1"/>
  <c r="L34" i="12"/>
  <c r="O34" i="12" s="1"/>
  <c r="L655" i="14"/>
  <c r="O655" i="14" s="1"/>
  <c r="K654" i="14"/>
  <c r="K364" i="14"/>
  <c r="P301" i="15"/>
  <c r="O263" i="12"/>
  <c r="I164" i="16"/>
  <c r="K164" i="16" s="1"/>
  <c r="P183" i="18"/>
  <c r="O300" i="19"/>
  <c r="N655" i="20"/>
  <c r="O655" i="20" s="1"/>
  <c r="L345" i="20"/>
  <c r="O347" i="20"/>
  <c r="O391" i="20"/>
  <c r="L389" i="20"/>
  <c r="O389" i="20" s="1"/>
  <c r="K364" i="20"/>
  <c r="P19" i="20"/>
  <c r="L389" i="5"/>
  <c r="O389" i="5" s="1"/>
  <c r="L655" i="10"/>
  <c r="O655" i="10" s="1"/>
  <c r="L30" i="15"/>
  <c r="O30" i="15" s="1"/>
  <c r="M315" i="16"/>
  <c r="P315" i="16" s="1"/>
  <c r="O68" i="17"/>
  <c r="P261" i="19"/>
  <c r="N414" i="20"/>
  <c r="K237" i="20"/>
  <c r="I226" i="20"/>
  <c r="L20" i="20"/>
  <c r="L18" i="20" s="1"/>
  <c r="L13" i="20"/>
  <c r="L11" i="20" s="1"/>
  <c r="O23" i="20"/>
  <c r="L21" i="20"/>
  <c r="O21" i="20" s="1"/>
  <c r="O90" i="20"/>
  <c r="L88" i="20"/>
  <c r="P331" i="20"/>
  <c r="O331" i="20"/>
  <c r="N16" i="20"/>
  <c r="N24" i="20"/>
  <c r="L16" i="20"/>
  <c r="O26" i="20"/>
  <c r="L24" i="20"/>
  <c r="M14" i="20"/>
  <c r="P15" i="20"/>
  <c r="J275" i="7"/>
  <c r="K275" i="7" s="1"/>
  <c r="O134" i="10"/>
  <c r="O55" i="11"/>
  <c r="O351" i="14"/>
  <c r="P55" i="15"/>
  <c r="P68" i="17"/>
  <c r="L66" i="19"/>
  <c r="O66" i="19" s="1"/>
  <c r="N165" i="19"/>
  <c r="O165" i="19" s="1"/>
  <c r="L277" i="19"/>
  <c r="O277" i="19" s="1"/>
  <c r="M414" i="20"/>
  <c r="P414" i="20" s="1"/>
  <c r="N786" i="20"/>
  <c r="O786" i="20" s="1"/>
  <c r="P43" i="20"/>
  <c r="M41" i="20"/>
  <c r="N20" i="20"/>
  <c r="N18" i="20" s="1"/>
  <c r="N13" i="20"/>
  <c r="N9" i="20"/>
  <c r="L544" i="9"/>
  <c r="O544" i="9" s="1"/>
  <c r="L315" i="15"/>
  <c r="O315" i="15" s="1"/>
  <c r="O181" i="15"/>
  <c r="L419" i="17"/>
  <c r="O419" i="17" s="1"/>
  <c r="K785" i="18"/>
  <c r="O347" i="18"/>
  <c r="K76" i="18"/>
  <c r="K275" i="19"/>
  <c r="P165" i="11"/>
  <c r="O167" i="11"/>
  <c r="K785" i="13"/>
  <c r="O68" i="14"/>
  <c r="M53" i="15"/>
  <c r="P53" i="15" s="1"/>
  <c r="O88" i="15"/>
  <c r="O55" i="15"/>
  <c r="L786" i="17"/>
  <c r="O786" i="17" s="1"/>
  <c r="P263" i="18"/>
  <c r="M328" i="19"/>
  <c r="P328" i="19" s="1"/>
  <c r="L389" i="18"/>
  <c r="O389" i="18" s="1"/>
  <c r="N298" i="19"/>
  <c r="O298" i="19" s="1"/>
  <c r="M277" i="19"/>
  <c r="P277" i="19" s="1"/>
  <c r="P279" i="19"/>
  <c r="K364" i="8"/>
  <c r="P279" i="17"/>
  <c r="J417" i="18"/>
  <c r="K417" i="18" s="1"/>
  <c r="P68" i="19"/>
  <c r="M149" i="19"/>
  <c r="P149" i="19" s="1"/>
  <c r="P151" i="19"/>
  <c r="P300" i="16"/>
  <c r="O88" i="17"/>
  <c r="L298" i="18"/>
  <c r="O298" i="18" s="1"/>
  <c r="M66" i="17"/>
  <c r="P66" i="17" s="1"/>
  <c r="P23" i="18"/>
  <c r="O152" i="19"/>
  <c r="M315" i="12"/>
  <c r="P315" i="12" s="1"/>
  <c r="O546" i="13"/>
  <c r="P165" i="13"/>
  <c r="L149" i="14"/>
  <c r="O149" i="14" s="1"/>
  <c r="L181" i="17"/>
  <c r="O181" i="17" s="1"/>
  <c r="N261" i="17"/>
  <c r="O261" i="17" s="1"/>
  <c r="M149" i="17"/>
  <c r="P149" i="17" s="1"/>
  <c r="L419" i="18"/>
  <c r="O419" i="18" s="1"/>
  <c r="P345" i="19"/>
  <c r="O183" i="19"/>
  <c r="O345" i="19"/>
  <c r="P347" i="19"/>
  <c r="O657" i="6"/>
  <c r="P330" i="17"/>
  <c r="O26" i="18"/>
  <c r="N414" i="19"/>
  <c r="O631" i="19"/>
  <c r="N629" i="19"/>
  <c r="O629" i="19" s="1"/>
  <c r="O469" i="19"/>
  <c r="N467" i="19"/>
  <c r="O467" i="19" s="1"/>
  <c r="N181" i="19"/>
  <c r="O181" i="19" s="1"/>
  <c r="L30" i="19"/>
  <c r="O30" i="19" s="1"/>
  <c r="O36" i="19"/>
  <c r="L34" i="19"/>
  <c r="O34" i="19" s="1"/>
  <c r="P26" i="19"/>
  <c r="M24" i="19"/>
  <c r="M16" i="19"/>
  <c r="P16" i="19" s="1"/>
  <c r="N28" i="19"/>
  <c r="M88" i="19"/>
  <c r="P88" i="19" s="1"/>
  <c r="P12" i="19"/>
  <c r="M9" i="19"/>
  <c r="L20" i="19"/>
  <c r="L13" i="19"/>
  <c r="O23" i="19"/>
  <c r="L21" i="19"/>
  <c r="P167" i="19"/>
  <c r="M165" i="19"/>
  <c r="L523" i="17"/>
  <c r="O523" i="17" s="1"/>
  <c r="L132" i="16"/>
  <c r="O132" i="16" s="1"/>
  <c r="P328" i="17"/>
  <c r="P66" i="18"/>
  <c r="O66" i="18"/>
  <c r="I226" i="18"/>
  <c r="K433" i="19"/>
  <c r="O29" i="19"/>
  <c r="N9" i="19"/>
  <c r="P19" i="19"/>
  <c r="P43" i="19"/>
  <c r="P29" i="19"/>
  <c r="M28" i="19"/>
  <c r="P28" i="19" s="1"/>
  <c r="O9" i="19"/>
  <c r="O263" i="14"/>
  <c r="N13" i="14"/>
  <c r="N11" i="14" s="1"/>
  <c r="K785" i="16"/>
  <c r="O277" i="18"/>
  <c r="O546" i="19"/>
  <c r="L544" i="19"/>
  <c r="O544" i="19" s="1"/>
  <c r="O688" i="19"/>
  <c r="P419" i="19"/>
  <c r="O421" i="19"/>
  <c r="L419" i="19"/>
  <c r="P545" i="19"/>
  <c r="M544" i="19"/>
  <c r="P544" i="19" s="1"/>
  <c r="O238" i="19"/>
  <c r="L227" i="19"/>
  <c r="L16" i="19"/>
  <c r="O16" i="19" s="1"/>
  <c r="O26" i="19"/>
  <c r="L24" i="19"/>
  <c r="P23" i="19"/>
  <c r="M13" i="19"/>
  <c r="M11" i="19" s="1"/>
  <c r="M20" i="19"/>
  <c r="M18" i="19" s="1"/>
  <c r="P300" i="19"/>
  <c r="K76" i="13"/>
  <c r="O121" i="13"/>
  <c r="P345" i="14"/>
  <c r="M298" i="17"/>
  <c r="P298" i="17" s="1"/>
  <c r="L132" i="18"/>
  <c r="O132" i="18" s="1"/>
  <c r="L20" i="18"/>
  <c r="L18" i="18" s="1"/>
  <c r="I131" i="19"/>
  <c r="K131" i="19" s="1"/>
  <c r="K143" i="19"/>
  <c r="O687" i="19"/>
  <c r="L685" i="19"/>
  <c r="O685" i="19" s="1"/>
  <c r="L444" i="19"/>
  <c r="O444" i="19" s="1"/>
  <c r="P183" i="19"/>
  <c r="M181" i="19"/>
  <c r="O330" i="19"/>
  <c r="L328" i="19"/>
  <c r="O328" i="19" s="1"/>
  <c r="O53" i="19"/>
  <c r="O15" i="19"/>
  <c r="K237" i="19"/>
  <c r="I226" i="19"/>
  <c r="N20" i="19"/>
  <c r="N18" i="19" s="1"/>
  <c r="N13" i="19"/>
  <c r="N10" i="19" s="1"/>
  <c r="N21" i="19"/>
  <c r="P21" i="19" s="1"/>
  <c r="P15" i="19"/>
  <c r="N41" i="19"/>
  <c r="O43" i="19"/>
  <c r="O631" i="11"/>
  <c r="L444" i="12"/>
  <c r="O444" i="12" s="1"/>
  <c r="K785" i="15"/>
  <c r="P351" i="16"/>
  <c r="L13" i="17"/>
  <c r="L11" i="17" s="1"/>
  <c r="P184" i="19"/>
  <c r="O33" i="19"/>
  <c r="I164" i="19"/>
  <c r="K164" i="19" s="1"/>
  <c r="K174" i="19"/>
  <c r="P330" i="12"/>
  <c r="O56" i="15"/>
  <c r="O56" i="16"/>
  <c r="M345" i="17"/>
  <c r="P345" i="17" s="1"/>
  <c r="L345" i="18"/>
  <c r="M132" i="18"/>
  <c r="P132" i="18" s="1"/>
  <c r="M261" i="18"/>
  <c r="P261" i="18" s="1"/>
  <c r="P181" i="18"/>
  <c r="N165" i="18"/>
  <c r="O165" i="18" s="1"/>
  <c r="O183" i="14"/>
  <c r="L328" i="15"/>
  <c r="O328" i="15" s="1"/>
  <c r="O90" i="15"/>
  <c r="P26" i="17"/>
  <c r="L181" i="18"/>
  <c r="O181" i="18" s="1"/>
  <c r="O183" i="18"/>
  <c r="M24" i="18"/>
  <c r="P26" i="18"/>
  <c r="M16" i="18"/>
  <c r="M10" i="18" s="1"/>
  <c r="P43" i="7"/>
  <c r="M165" i="14"/>
  <c r="P165" i="14" s="1"/>
  <c r="O348" i="15"/>
  <c r="K77" i="15"/>
  <c r="L16" i="15"/>
  <c r="L14" i="15" s="1"/>
  <c r="I131" i="16"/>
  <c r="K131" i="16" s="1"/>
  <c r="L467" i="17"/>
  <c r="O467" i="17" s="1"/>
  <c r="M24" i="17"/>
  <c r="O469" i="18"/>
  <c r="L467" i="18"/>
  <c r="O467" i="18" s="1"/>
  <c r="L328" i="18"/>
  <c r="O328" i="18" s="1"/>
  <c r="L444" i="18"/>
  <c r="O444" i="18" s="1"/>
  <c r="K559" i="18"/>
  <c r="P404" i="18"/>
  <c r="M402" i="18"/>
  <c r="P402" i="18" s="1"/>
  <c r="O151" i="18"/>
  <c r="L149" i="18"/>
  <c r="O149" i="18" s="1"/>
  <c r="O33" i="18"/>
  <c r="L30" i="18"/>
  <c r="L31" i="18"/>
  <c r="O31" i="18" s="1"/>
  <c r="K77" i="18"/>
  <c r="I65" i="18"/>
  <c r="K65" i="18" s="1"/>
  <c r="O12" i="18"/>
  <c r="L9" i="18"/>
  <c r="L629" i="18"/>
  <c r="O629" i="18" s="1"/>
  <c r="P29" i="18"/>
  <c r="M28" i="18"/>
  <c r="P28" i="18" s="1"/>
  <c r="L53" i="18"/>
  <c r="O53" i="18" s="1"/>
  <c r="O55" i="18"/>
  <c r="M298" i="18"/>
  <c r="P298" i="18" s="1"/>
  <c r="O91" i="18"/>
  <c r="O21" i="18"/>
  <c r="L298" i="9"/>
  <c r="O298" i="9" s="1"/>
  <c r="P347" i="11"/>
  <c r="M16" i="17"/>
  <c r="P16" i="17" s="1"/>
  <c r="K593" i="18"/>
  <c r="J592" i="18"/>
  <c r="K592" i="18" s="1"/>
  <c r="O121" i="18"/>
  <c r="L119" i="18"/>
  <c r="O238" i="18"/>
  <c r="L227" i="18"/>
  <c r="O19" i="18"/>
  <c r="P91" i="17"/>
  <c r="O167" i="18"/>
  <c r="P277" i="18"/>
  <c r="O36" i="18"/>
  <c r="L34" i="18"/>
  <c r="O34" i="18" s="1"/>
  <c r="M402" i="6"/>
  <c r="P402" i="6" s="1"/>
  <c r="K364" i="13"/>
  <c r="M402" i="15"/>
  <c r="P402" i="15" s="1"/>
  <c r="O53" i="16"/>
  <c r="O44" i="17"/>
  <c r="N16" i="18"/>
  <c r="N14" i="18" s="1"/>
  <c r="N24" i="18"/>
  <c r="O24" i="18" s="1"/>
  <c r="N9" i="18"/>
  <c r="N20" i="18"/>
  <c r="N13" i="18"/>
  <c r="N119" i="18"/>
  <c r="P119" i="18" s="1"/>
  <c r="P121" i="18"/>
  <c r="O23" i="18"/>
  <c r="M389" i="4"/>
  <c r="P389" i="4" s="1"/>
  <c r="L655" i="9"/>
  <c r="O655" i="9" s="1"/>
  <c r="P391" i="16"/>
  <c r="K131" i="17"/>
  <c r="M414" i="18"/>
  <c r="P414" i="18" s="1"/>
  <c r="O317" i="18"/>
  <c r="L315" i="18"/>
  <c r="O315" i="18" s="1"/>
  <c r="P53" i="18"/>
  <c r="P12" i="18"/>
  <c r="M11" i="18"/>
  <c r="M9" i="18"/>
  <c r="O168" i="18"/>
  <c r="P55" i="18"/>
  <c r="P15" i="18"/>
  <c r="M41" i="18"/>
  <c r="L13" i="18"/>
  <c r="L11" i="18" s="1"/>
  <c r="L685" i="7"/>
  <c r="O685" i="7" s="1"/>
  <c r="P347" i="6"/>
  <c r="P23" i="14"/>
  <c r="M389" i="15"/>
  <c r="P389" i="15" s="1"/>
  <c r="P330" i="18"/>
  <c r="M328" i="18"/>
  <c r="P328" i="18" s="1"/>
  <c r="P19" i="18"/>
  <c r="O90" i="18"/>
  <c r="L88" i="18"/>
  <c r="O279" i="18"/>
  <c r="P279" i="18"/>
  <c r="O263" i="18"/>
  <c r="L261" i="18"/>
  <c r="O261" i="18" s="1"/>
  <c r="M20" i="18"/>
  <c r="P90" i="18"/>
  <c r="N88" i="18"/>
  <c r="P88" i="18" s="1"/>
  <c r="N13" i="11"/>
  <c r="N10" i="11" s="1"/>
  <c r="O657" i="16"/>
  <c r="O347" i="16"/>
  <c r="P55" i="17"/>
  <c r="L34" i="17"/>
  <c r="O34" i="17" s="1"/>
  <c r="O36" i="17"/>
  <c r="O404" i="17"/>
  <c r="L402" i="17"/>
  <c r="O402" i="17" s="1"/>
  <c r="L30" i="17"/>
  <c r="O30" i="17" s="1"/>
  <c r="O168" i="11"/>
  <c r="P121" i="9"/>
  <c r="O181" i="13"/>
  <c r="K275" i="16"/>
  <c r="L16" i="14"/>
  <c r="L14" i="14" s="1"/>
  <c r="M315" i="17"/>
  <c r="P315" i="17" s="1"/>
  <c r="P88" i="17"/>
  <c r="O69" i="17"/>
  <c r="P263" i="17"/>
  <c r="L277" i="17"/>
  <c r="O277" i="17" s="1"/>
  <c r="O279" i="17"/>
  <c r="K364" i="12"/>
  <c r="M402" i="17"/>
  <c r="P402" i="17" s="1"/>
  <c r="K143" i="17"/>
  <c r="O657" i="17"/>
  <c r="O300" i="17"/>
  <c r="L298" i="17"/>
  <c r="O298" i="17" s="1"/>
  <c r="O121" i="17"/>
  <c r="L119" i="17"/>
  <c r="O119" i="17" s="1"/>
  <c r="O151" i="17"/>
  <c r="L149" i="17"/>
  <c r="O149" i="17" s="1"/>
  <c r="O328" i="14"/>
  <c r="O184" i="16"/>
  <c r="L66" i="17"/>
  <c r="O66" i="17" s="1"/>
  <c r="N24" i="17"/>
  <c r="O9" i="17"/>
  <c r="I65" i="5"/>
  <c r="K65" i="5" s="1"/>
  <c r="K364" i="9"/>
  <c r="M315" i="11"/>
  <c r="P315" i="11" s="1"/>
  <c r="L419" i="12"/>
  <c r="O419" i="12" s="1"/>
  <c r="P56" i="13"/>
  <c r="P167" i="13"/>
  <c r="M119" i="14"/>
  <c r="P119" i="14" s="1"/>
  <c r="O43" i="13"/>
  <c r="P66" i="15"/>
  <c r="L629" i="15"/>
  <c r="O629" i="15" s="1"/>
  <c r="P68" i="15"/>
  <c r="O55" i="16"/>
  <c r="N165" i="16"/>
  <c r="P165" i="16" s="1"/>
  <c r="O263" i="16"/>
  <c r="O391" i="16"/>
  <c r="O546" i="17"/>
  <c r="L544" i="17"/>
  <c r="O544" i="17" s="1"/>
  <c r="I226" i="17"/>
  <c r="K237" i="17"/>
  <c r="L389" i="17"/>
  <c r="O389" i="17" s="1"/>
  <c r="K77" i="17"/>
  <c r="I65" i="17"/>
  <c r="K65" i="17" s="1"/>
  <c r="O23" i="17"/>
  <c r="M315" i="10"/>
  <c r="P315" i="10" s="1"/>
  <c r="O446" i="13"/>
  <c r="L655" i="15"/>
  <c r="O655" i="15" s="1"/>
  <c r="O68" i="15"/>
  <c r="K364" i="15"/>
  <c r="L53" i="15"/>
  <c r="O53" i="15" s="1"/>
  <c r="N298" i="15"/>
  <c r="O298" i="15" s="1"/>
  <c r="P300" i="15"/>
  <c r="L119" i="16"/>
  <c r="O119" i="16" s="1"/>
  <c r="P184" i="16"/>
  <c r="O330" i="17"/>
  <c r="L328" i="17"/>
  <c r="O328" i="17" s="1"/>
  <c r="P29" i="17"/>
  <c r="M28" i="17"/>
  <c r="P28" i="17" s="1"/>
  <c r="O29" i="17"/>
  <c r="O685" i="17"/>
  <c r="K559" i="8"/>
  <c r="N261" i="12"/>
  <c r="O261" i="12" s="1"/>
  <c r="L402" i="13"/>
  <c r="O402" i="13" s="1"/>
  <c r="L444" i="14"/>
  <c r="O444" i="14" s="1"/>
  <c r="O167" i="13"/>
  <c r="O183" i="15"/>
  <c r="L523" i="15"/>
  <c r="O523" i="15" s="1"/>
  <c r="K374" i="17"/>
  <c r="J364" i="17"/>
  <c r="K364" i="17" s="1"/>
  <c r="O238" i="17"/>
  <c r="L227" i="17"/>
  <c r="L24" i="17"/>
  <c r="O26" i="17"/>
  <c r="L16" i="17"/>
  <c r="O16" i="17" s="1"/>
  <c r="O21" i="17"/>
  <c r="N53" i="17"/>
  <c r="P53" i="17" s="1"/>
  <c r="O55" i="17"/>
  <c r="P23" i="17"/>
  <c r="M20" i="17"/>
  <c r="M13" i="17"/>
  <c r="M21" i="17"/>
  <c r="P21" i="17" s="1"/>
  <c r="N20" i="17"/>
  <c r="N18" i="17" s="1"/>
  <c r="N13" i="17"/>
  <c r="O41" i="17"/>
  <c r="O165" i="13"/>
  <c r="M66" i="14"/>
  <c r="P66" i="14" s="1"/>
  <c r="O152" i="15"/>
  <c r="O167" i="15"/>
  <c r="P523" i="17"/>
  <c r="M414" i="17"/>
  <c r="P414" i="17" s="1"/>
  <c r="O317" i="17"/>
  <c r="L315" i="17"/>
  <c r="O315" i="17" s="1"/>
  <c r="O446" i="17"/>
  <c r="L444" i="17"/>
  <c r="O444" i="17" s="1"/>
  <c r="P41" i="17"/>
  <c r="M165" i="17"/>
  <c r="P165" i="17" s="1"/>
  <c r="L20" i="17"/>
  <c r="P15" i="17"/>
  <c r="O15" i="17"/>
  <c r="M181" i="17"/>
  <c r="P181" i="17" s="1"/>
  <c r="P68" i="12"/>
  <c r="O688" i="13"/>
  <c r="P181" i="13"/>
  <c r="L389" i="14"/>
  <c r="O389" i="14" s="1"/>
  <c r="P90" i="14"/>
  <c r="O261" i="16"/>
  <c r="K434" i="17"/>
  <c r="I418" i="17"/>
  <c r="K418" i="17" s="1"/>
  <c r="J417" i="17"/>
  <c r="K417" i="17" s="1"/>
  <c r="K433" i="17"/>
  <c r="L132" i="17"/>
  <c r="O132" i="17" s="1"/>
  <c r="O43" i="17"/>
  <c r="P9" i="17"/>
  <c r="K76" i="17"/>
  <c r="I64" i="17"/>
  <c r="K64" i="17" s="1"/>
  <c r="P43" i="17"/>
  <c r="I64" i="14"/>
  <c r="K64" i="14" s="1"/>
  <c r="P43" i="15"/>
  <c r="L315" i="13"/>
  <c r="O315" i="13" s="1"/>
  <c r="L227" i="14"/>
  <c r="L523" i="16"/>
  <c r="O523" i="16" s="1"/>
  <c r="P263" i="15"/>
  <c r="P21" i="14"/>
  <c r="K288" i="16"/>
  <c r="P132" i="15"/>
  <c r="P88" i="16"/>
  <c r="O88" i="16"/>
  <c r="O421" i="16"/>
  <c r="L419" i="16"/>
  <c r="O419" i="16" s="1"/>
  <c r="O404" i="16"/>
  <c r="L402" i="16"/>
  <c r="O402" i="16" s="1"/>
  <c r="I164" i="14"/>
  <c r="K164" i="14" s="1"/>
  <c r="L402" i="15"/>
  <c r="O402" i="15" s="1"/>
  <c r="N261" i="15"/>
  <c r="P261" i="15" s="1"/>
  <c r="M298" i="15"/>
  <c r="P181" i="16"/>
  <c r="P347" i="16"/>
  <c r="L298" i="16"/>
  <c r="O298" i="16" s="1"/>
  <c r="L34" i="16"/>
  <c r="O34" i="16" s="1"/>
  <c r="O36" i="16"/>
  <c r="O347" i="14"/>
  <c r="L119" i="15"/>
  <c r="O119" i="15" s="1"/>
  <c r="N345" i="16"/>
  <c r="K364" i="16"/>
  <c r="O167" i="14"/>
  <c r="N181" i="14"/>
  <c r="O181" i="14" s="1"/>
  <c r="P55" i="16"/>
  <c r="M53" i="16"/>
  <c r="P53" i="16" s="1"/>
  <c r="P90" i="11"/>
  <c r="M119" i="10"/>
  <c r="P119" i="10" s="1"/>
  <c r="M41" i="15"/>
  <c r="P41" i="15" s="1"/>
  <c r="O331" i="15"/>
  <c r="O263" i="15"/>
  <c r="L149" i="16"/>
  <c r="O149" i="16" s="1"/>
  <c r="L30" i="16"/>
  <c r="O30" i="16" s="1"/>
  <c r="N13" i="16"/>
  <c r="N10" i="16" s="1"/>
  <c r="P21" i="16"/>
  <c r="P183" i="16"/>
  <c r="L132" i="5"/>
  <c r="O132" i="5" s="1"/>
  <c r="P347" i="14"/>
  <c r="P183" i="14"/>
  <c r="L402" i="14"/>
  <c r="O402" i="14" s="1"/>
  <c r="L389" i="15"/>
  <c r="O389" i="15" s="1"/>
  <c r="P134" i="15"/>
  <c r="O149" i="15"/>
  <c r="L277" i="14"/>
  <c r="O277" i="14" s="1"/>
  <c r="P152" i="14"/>
  <c r="L66" i="14"/>
  <c r="O66" i="14" s="1"/>
  <c r="L544" i="15"/>
  <c r="O544" i="15" s="1"/>
  <c r="L444" i="15"/>
  <c r="O444" i="15" s="1"/>
  <c r="L24" i="15"/>
  <c r="O24" i="15" s="1"/>
  <c r="L444" i="16"/>
  <c r="O446" i="16"/>
  <c r="K434" i="16"/>
  <c r="I418" i="16"/>
  <c r="K418" i="16" s="1"/>
  <c r="K433" i="16"/>
  <c r="J417" i="16"/>
  <c r="K417" i="16" s="1"/>
  <c r="M149" i="16"/>
  <c r="P149" i="16" s="1"/>
  <c r="P151" i="16"/>
  <c r="I65" i="16"/>
  <c r="K65" i="16" s="1"/>
  <c r="K77" i="16"/>
  <c r="O330" i="16"/>
  <c r="N328" i="16"/>
  <c r="P330" i="16"/>
  <c r="O29" i="16"/>
  <c r="M20" i="14"/>
  <c r="M18" i="14" s="1"/>
  <c r="M13" i="14"/>
  <c r="O330" i="14"/>
  <c r="P348" i="16"/>
  <c r="O348" i="16"/>
  <c r="P23" i="16"/>
  <c r="M20" i="16"/>
  <c r="M18" i="16" s="1"/>
  <c r="M13" i="16"/>
  <c r="M11" i="16" s="1"/>
  <c r="O151" i="15"/>
  <c r="N20" i="16"/>
  <c r="N18" i="16" s="1"/>
  <c r="O687" i="16"/>
  <c r="L685" i="16"/>
  <c r="O685" i="16" s="1"/>
  <c r="L41" i="16"/>
  <c r="O43" i="16"/>
  <c r="O15" i="16"/>
  <c r="O23" i="16"/>
  <c r="L20" i="16"/>
  <c r="L13" i="16"/>
  <c r="L21" i="16"/>
  <c r="O21" i="16" s="1"/>
  <c r="P19" i="16"/>
  <c r="O279" i="13"/>
  <c r="O544" i="16"/>
  <c r="O317" i="16"/>
  <c r="L315" i="16"/>
  <c r="O315" i="16" s="1"/>
  <c r="O167" i="16"/>
  <c r="L165" i="16"/>
  <c r="O26" i="16"/>
  <c r="L16" i="16"/>
  <c r="O16" i="16" s="1"/>
  <c r="L24" i="16"/>
  <c r="L66" i="16"/>
  <c r="O66" i="16" s="1"/>
  <c r="L9" i="16"/>
  <c r="N9" i="16"/>
  <c r="K433" i="12"/>
  <c r="O300" i="14"/>
  <c r="P43" i="16"/>
  <c r="M41" i="16"/>
  <c r="L181" i="16"/>
  <c r="O181" i="16" s="1"/>
  <c r="L227" i="16"/>
  <c r="N414" i="16"/>
  <c r="P279" i="16"/>
  <c r="O279" i="16"/>
  <c r="M132" i="16"/>
  <c r="P132" i="16" s="1"/>
  <c r="P90" i="16"/>
  <c r="O90" i="16"/>
  <c r="N277" i="16"/>
  <c r="N20" i="13"/>
  <c r="N18" i="13" s="1"/>
  <c r="O23" i="14"/>
  <c r="L629" i="16"/>
  <c r="O629" i="16" s="1"/>
  <c r="O631" i="16"/>
  <c r="P545" i="16"/>
  <c r="M544" i="16"/>
  <c r="I226" i="16"/>
  <c r="K237" i="16"/>
  <c r="P263" i="16"/>
  <c r="M261" i="16"/>
  <c r="P261" i="16" s="1"/>
  <c r="P26" i="16"/>
  <c r="M16" i="16"/>
  <c r="I64" i="16"/>
  <c r="K64" i="16" s="1"/>
  <c r="K76" i="16"/>
  <c r="M119" i="16"/>
  <c r="P119" i="16" s="1"/>
  <c r="P12" i="16"/>
  <c r="M9" i="16"/>
  <c r="N24" i="16"/>
  <c r="P24" i="16" s="1"/>
  <c r="M28" i="16"/>
  <c r="P28" i="16" s="1"/>
  <c r="O546" i="12"/>
  <c r="O66" i="11"/>
  <c r="L523" i="14"/>
  <c r="O523" i="14" s="1"/>
  <c r="L345" i="15"/>
  <c r="O345" i="15" s="1"/>
  <c r="L261" i="15"/>
  <c r="O788" i="15"/>
  <c r="L786" i="15"/>
  <c r="O786" i="15" s="1"/>
  <c r="M119" i="15"/>
  <c r="P119" i="15" s="1"/>
  <c r="P121" i="15"/>
  <c r="P331" i="15"/>
  <c r="K559" i="15"/>
  <c r="P66" i="11"/>
  <c r="P167" i="15"/>
  <c r="O90" i="10"/>
  <c r="P134" i="10"/>
  <c r="P55" i="14"/>
  <c r="O90" i="14"/>
  <c r="P149" i="14"/>
  <c r="N53" i="14"/>
  <c r="O53" i="14" s="1"/>
  <c r="N165" i="15"/>
  <c r="O165" i="15" s="1"/>
  <c r="P263" i="12"/>
  <c r="M88" i="15"/>
  <c r="P88" i="15" s="1"/>
  <c r="P348" i="15"/>
  <c r="O391" i="8"/>
  <c r="O55" i="10"/>
  <c r="I417" i="12"/>
  <c r="K417" i="12" s="1"/>
  <c r="P280" i="13"/>
  <c r="O69" i="14"/>
  <c r="O91" i="14"/>
  <c r="P347" i="15"/>
  <c r="M345" i="15"/>
  <c r="P345" i="15" s="1"/>
  <c r="I418" i="15"/>
  <c r="K418" i="15" s="1"/>
  <c r="K434" i="15"/>
  <c r="L41" i="15"/>
  <c r="O43" i="15"/>
  <c r="K433" i="15"/>
  <c r="I417" i="15"/>
  <c r="K417" i="15" s="1"/>
  <c r="N277" i="15"/>
  <c r="O277" i="15" s="1"/>
  <c r="P279" i="15"/>
  <c r="K143" i="6"/>
  <c r="O300" i="10"/>
  <c r="I64" i="12"/>
  <c r="K64" i="12" s="1"/>
  <c r="L523" i="12"/>
  <c r="O523" i="12" s="1"/>
  <c r="L315" i="14"/>
  <c r="O315" i="14" s="1"/>
  <c r="O469" i="15"/>
  <c r="L467" i="15"/>
  <c r="O467" i="15" s="1"/>
  <c r="P330" i="15"/>
  <c r="M328" i="15"/>
  <c r="P328" i="15" s="1"/>
  <c r="I164" i="15"/>
  <c r="K164" i="15" s="1"/>
  <c r="K174" i="15"/>
  <c r="I131" i="15"/>
  <c r="K131" i="15" s="1"/>
  <c r="K143" i="15"/>
  <c r="P151" i="15"/>
  <c r="M149" i="15"/>
  <c r="P149" i="15" s="1"/>
  <c r="M315" i="15"/>
  <c r="P315" i="15" s="1"/>
  <c r="P183" i="15"/>
  <c r="N9" i="15"/>
  <c r="O41" i="14"/>
  <c r="K237" i="15"/>
  <c r="I226" i="15"/>
  <c r="N16" i="15"/>
  <c r="O26" i="15"/>
  <c r="O12" i="15"/>
  <c r="L9" i="15"/>
  <c r="P24" i="15"/>
  <c r="O43" i="7"/>
  <c r="O655" i="13"/>
  <c r="J592" i="15"/>
  <c r="K592" i="15" s="1"/>
  <c r="K593" i="15"/>
  <c r="N414" i="15"/>
  <c r="O15" i="15"/>
  <c r="P181" i="15"/>
  <c r="N20" i="15"/>
  <c r="N18" i="15" s="1"/>
  <c r="N13" i="15"/>
  <c r="O134" i="15"/>
  <c r="L132" i="15"/>
  <c r="O132" i="15" s="1"/>
  <c r="K174" i="13"/>
  <c r="I164" i="13"/>
  <c r="K164" i="13" s="1"/>
  <c r="M149" i="10"/>
  <c r="P149" i="10" s="1"/>
  <c r="O345" i="14"/>
  <c r="O238" i="15"/>
  <c r="L227" i="15"/>
  <c r="O23" i="15"/>
  <c r="L21" i="15"/>
  <c r="O21" i="15" s="1"/>
  <c r="L20" i="15"/>
  <c r="L13" i="15"/>
  <c r="L11" i="15" s="1"/>
  <c r="P44" i="15"/>
  <c r="O29" i="15"/>
  <c r="M9" i="15"/>
  <c r="P15" i="15"/>
  <c r="L24" i="14"/>
  <c r="L786" i="14"/>
  <c r="O786" i="14" s="1"/>
  <c r="L20" i="14"/>
  <c r="L18" i="14" s="1"/>
  <c r="O55" i="12"/>
  <c r="O687" i="15"/>
  <c r="L685" i="15"/>
  <c r="O685" i="15" s="1"/>
  <c r="M20" i="15"/>
  <c r="M13" i="15"/>
  <c r="P23" i="15"/>
  <c r="M21" i="15"/>
  <c r="P21" i="15" s="1"/>
  <c r="P26" i="15"/>
  <c r="M16" i="15"/>
  <c r="L66" i="15"/>
  <c r="O66" i="15" s="1"/>
  <c r="P43" i="14"/>
  <c r="M389" i="9"/>
  <c r="P389" i="9" s="1"/>
  <c r="L685" i="10"/>
  <c r="O685" i="10" s="1"/>
  <c r="P330" i="11"/>
  <c r="P43" i="12"/>
  <c r="O43" i="12"/>
  <c r="O422" i="7"/>
  <c r="L298" i="10"/>
  <c r="O298" i="10" s="1"/>
  <c r="P300" i="12"/>
  <c r="M41" i="14"/>
  <c r="P41" i="14" s="1"/>
  <c r="O21" i="14"/>
  <c r="L119" i="14"/>
  <c r="O119" i="14" s="1"/>
  <c r="O168" i="14"/>
  <c r="O330" i="10"/>
  <c r="O165" i="12"/>
  <c r="L629" i="12"/>
  <c r="O629" i="12" s="1"/>
  <c r="O657" i="13"/>
  <c r="P261" i="13"/>
  <c r="P263" i="13"/>
  <c r="M149" i="12"/>
  <c r="P149" i="12" s="1"/>
  <c r="P277" i="13"/>
  <c r="P279" i="13"/>
  <c r="L13" i="14"/>
  <c r="P56" i="14"/>
  <c r="M328" i="14"/>
  <c r="P328" i="14" s="1"/>
  <c r="P330" i="14"/>
  <c r="O88" i="14"/>
  <c r="L786" i="2"/>
  <c r="O786" i="2" s="1"/>
  <c r="P347" i="7"/>
  <c r="L132" i="10"/>
  <c r="O132" i="10" s="1"/>
  <c r="L88" i="11"/>
  <c r="O88" i="11" s="1"/>
  <c r="O167" i="12"/>
  <c r="L53" i="12"/>
  <c r="O53" i="12" s="1"/>
  <c r="K654" i="13"/>
  <c r="L277" i="13"/>
  <c r="O277" i="13" s="1"/>
  <c r="P53" i="12"/>
  <c r="L31" i="14"/>
  <c r="O31" i="14" s="1"/>
  <c r="P183" i="13"/>
  <c r="M181" i="14"/>
  <c r="M88" i="14"/>
  <c r="P88" i="14" s="1"/>
  <c r="O165" i="14"/>
  <c r="N88" i="10"/>
  <c r="O88" i="10" s="1"/>
  <c r="P348" i="12"/>
  <c r="O544" i="13"/>
  <c r="P151" i="13"/>
  <c r="N13" i="13"/>
  <c r="N11" i="13" s="1"/>
  <c r="P44" i="13"/>
  <c r="O183" i="13"/>
  <c r="L30" i="14"/>
  <c r="O30" i="14" s="1"/>
  <c r="O43" i="14"/>
  <c r="P279" i="12"/>
  <c r="K288" i="13"/>
  <c r="K434" i="14"/>
  <c r="I418" i="14"/>
  <c r="K418" i="14" s="1"/>
  <c r="P545" i="14"/>
  <c r="M544" i="14"/>
  <c r="P544" i="14" s="1"/>
  <c r="O467" i="14"/>
  <c r="O544" i="14"/>
  <c r="K237" i="14"/>
  <c r="I226" i="14"/>
  <c r="I65" i="14"/>
  <c r="K65" i="14" s="1"/>
  <c r="K77" i="14"/>
  <c r="L419" i="9"/>
  <c r="O419" i="9" s="1"/>
  <c r="M119" i="9"/>
  <c r="P119" i="9" s="1"/>
  <c r="P43" i="9"/>
  <c r="K364" i="10"/>
  <c r="L119" i="10"/>
  <c r="O119" i="10" s="1"/>
  <c r="P90" i="10"/>
  <c r="P68" i="11"/>
  <c r="N66" i="12"/>
  <c r="O66" i="12" s="1"/>
  <c r="K434" i="12"/>
  <c r="O279" i="12"/>
  <c r="O469" i="14"/>
  <c r="P300" i="14"/>
  <c r="N298" i="14"/>
  <c r="O298" i="14" s="1"/>
  <c r="O29" i="14"/>
  <c r="K275" i="14"/>
  <c r="N261" i="14"/>
  <c r="O261" i="14" s="1"/>
  <c r="N9" i="14"/>
  <c r="K559" i="14"/>
  <c r="I543" i="14"/>
  <c r="K543" i="14" s="1"/>
  <c r="M261" i="14"/>
  <c r="P263" i="14"/>
  <c r="J417" i="14"/>
  <c r="K417" i="14" s="1"/>
  <c r="K433" i="14"/>
  <c r="O15" i="14"/>
  <c r="P12" i="14"/>
  <c r="M9" i="14"/>
  <c r="O183" i="6"/>
  <c r="P280" i="8"/>
  <c r="I226" i="9"/>
  <c r="I180" i="9" s="1"/>
  <c r="K180" i="9" s="1"/>
  <c r="P55" i="10"/>
  <c r="L655" i="12"/>
  <c r="O655" i="12" s="1"/>
  <c r="L9" i="14"/>
  <c r="M414" i="14"/>
  <c r="P414" i="14" s="1"/>
  <c r="O546" i="14"/>
  <c r="L544" i="6"/>
  <c r="O544" i="6" s="1"/>
  <c r="O347" i="6"/>
  <c r="L328" i="10"/>
  <c r="O328" i="10" s="1"/>
  <c r="O279" i="11"/>
  <c r="L467" i="12"/>
  <c r="O467" i="12" s="1"/>
  <c r="L41" i="12"/>
  <c r="O41" i="12" s="1"/>
  <c r="M402" i="12"/>
  <c r="P402" i="12" s="1"/>
  <c r="L30" i="12"/>
  <c r="O30" i="12" s="1"/>
  <c r="M119" i="13"/>
  <c r="P119" i="13" s="1"/>
  <c r="P165" i="12"/>
  <c r="P21" i="13"/>
  <c r="L227" i="13"/>
  <c r="L298" i="13"/>
  <c r="O298" i="13" s="1"/>
  <c r="L30" i="13"/>
  <c r="L28" i="13" s="1"/>
  <c r="P55" i="12"/>
  <c r="P300" i="13"/>
  <c r="N629" i="14"/>
  <c r="O629" i="14" s="1"/>
  <c r="O631" i="14"/>
  <c r="P19" i="14"/>
  <c r="N16" i="14"/>
  <c r="O26" i="14"/>
  <c r="P26" i="14"/>
  <c r="M16" i="14"/>
  <c r="M24" i="14"/>
  <c r="L389" i="13"/>
  <c r="O389" i="13" s="1"/>
  <c r="O391" i="13"/>
  <c r="P279" i="11"/>
  <c r="P347" i="10"/>
  <c r="L30" i="11"/>
  <c r="L28" i="11" s="1"/>
  <c r="O28" i="11" s="1"/>
  <c r="P331" i="12"/>
  <c r="K288" i="14"/>
  <c r="N20" i="14"/>
  <c r="N18" i="14" s="1"/>
  <c r="K143" i="14"/>
  <c r="I131" i="14"/>
  <c r="K131" i="14" s="1"/>
  <c r="N24" i="14"/>
  <c r="M28" i="14"/>
  <c r="P28" i="14" s="1"/>
  <c r="L786" i="8"/>
  <c r="O786" i="8" s="1"/>
  <c r="O263" i="10"/>
  <c r="L298" i="11"/>
  <c r="O298" i="11" s="1"/>
  <c r="O56" i="11"/>
  <c r="O33" i="12"/>
  <c r="O56" i="13"/>
  <c r="P391" i="13"/>
  <c r="M389" i="13"/>
  <c r="P389" i="13" s="1"/>
  <c r="P347" i="13"/>
  <c r="M345" i="13"/>
  <c r="P345" i="13" s="1"/>
  <c r="N88" i="13"/>
  <c r="P88" i="13" s="1"/>
  <c r="L523" i="13"/>
  <c r="O523" i="13" s="1"/>
  <c r="K131" i="13"/>
  <c r="O183" i="12"/>
  <c r="P330" i="13"/>
  <c r="M328" i="13"/>
  <c r="P328" i="13" s="1"/>
  <c r="M66" i="13"/>
  <c r="P66" i="13" s="1"/>
  <c r="O26" i="13"/>
  <c r="L16" i="13"/>
  <c r="L14" i="13" s="1"/>
  <c r="P135" i="13"/>
  <c r="O135" i="13"/>
  <c r="L345" i="13"/>
  <c r="O345" i="13" s="1"/>
  <c r="O347" i="13"/>
  <c r="O15" i="13"/>
  <c r="L685" i="5"/>
  <c r="O685" i="5" s="1"/>
  <c r="L66" i="6"/>
  <c r="O66" i="6" s="1"/>
  <c r="M277" i="7"/>
  <c r="M298" i="9"/>
  <c r="P298" i="9" s="1"/>
  <c r="P351" i="10"/>
  <c r="K288" i="11"/>
  <c r="L315" i="12"/>
  <c r="O315" i="12" s="1"/>
  <c r="M277" i="12"/>
  <c r="P277" i="12" s="1"/>
  <c r="M119" i="12"/>
  <c r="P119" i="12" s="1"/>
  <c r="O68" i="12"/>
  <c r="O68" i="11"/>
  <c r="L328" i="13"/>
  <c r="O328" i="13" s="1"/>
  <c r="O330" i="13"/>
  <c r="O151" i="13"/>
  <c r="L149" i="13"/>
  <c r="O149" i="13" s="1"/>
  <c r="L34" i="13"/>
  <c r="O34" i="13" s="1"/>
  <c r="O36" i="13"/>
  <c r="K559" i="13"/>
  <c r="I543" i="13"/>
  <c r="K543" i="13" s="1"/>
  <c r="L24" i="13"/>
  <c r="P134" i="12"/>
  <c r="M132" i="12"/>
  <c r="P132" i="12" s="1"/>
  <c r="O167" i="6"/>
  <c r="L389" i="11"/>
  <c r="O389" i="11" s="1"/>
  <c r="O277" i="11"/>
  <c r="L149" i="12"/>
  <c r="O149" i="12" s="1"/>
  <c r="N414" i="13"/>
  <c r="O444" i="13"/>
  <c r="L419" i="13"/>
  <c r="O421" i="13"/>
  <c r="O31" i="13"/>
  <c r="K364" i="6"/>
  <c r="O184" i="9"/>
  <c r="L544" i="11"/>
  <c r="O544" i="11" s="1"/>
  <c r="L315" i="11"/>
  <c r="O315" i="11" s="1"/>
  <c r="M389" i="12"/>
  <c r="P389" i="12" s="1"/>
  <c r="P330" i="10"/>
  <c r="P26" i="12"/>
  <c r="L181" i="12"/>
  <c r="O181" i="12" s="1"/>
  <c r="M315" i="13"/>
  <c r="P315" i="13" s="1"/>
  <c r="O138" i="13"/>
  <c r="N53" i="13"/>
  <c r="P55" i="13"/>
  <c r="L20" i="13"/>
  <c r="O23" i="13"/>
  <c r="L13" i="13"/>
  <c r="L21" i="13"/>
  <c r="O21" i="13" s="1"/>
  <c r="L467" i="13"/>
  <c r="O467" i="13" s="1"/>
  <c r="O469" i="13"/>
  <c r="M544" i="13"/>
  <c r="P545" i="13"/>
  <c r="O55" i="13"/>
  <c r="L53" i="13"/>
  <c r="M20" i="13"/>
  <c r="P23" i="13"/>
  <c r="M13" i="13"/>
  <c r="L9" i="13"/>
  <c r="N31" i="13"/>
  <c r="N30" i="13"/>
  <c r="N28" i="13" s="1"/>
  <c r="P149" i="13"/>
  <c r="O43" i="8"/>
  <c r="P184" i="10"/>
  <c r="O121" i="11"/>
  <c r="L277" i="12"/>
  <c r="O277" i="12" s="1"/>
  <c r="M24" i="12"/>
  <c r="P404" i="13"/>
  <c r="M402" i="13"/>
  <c r="P402" i="13" s="1"/>
  <c r="I417" i="13"/>
  <c r="K417" i="13" s="1"/>
  <c r="K433" i="13"/>
  <c r="K434" i="13"/>
  <c r="I418" i="13"/>
  <c r="K418" i="13" s="1"/>
  <c r="P134" i="13"/>
  <c r="O134" i="13"/>
  <c r="O90" i="13"/>
  <c r="L88" i="13"/>
  <c r="P43" i="13"/>
  <c r="M41" i="13"/>
  <c r="P15" i="13"/>
  <c r="M9" i="13"/>
  <c r="K143" i="13"/>
  <c r="O41" i="13"/>
  <c r="O33" i="13"/>
  <c r="O330" i="6"/>
  <c r="O151" i="6"/>
  <c r="P132" i="10"/>
  <c r="K275" i="11"/>
  <c r="P263" i="10"/>
  <c r="O347" i="12"/>
  <c r="I65" i="12"/>
  <c r="K65" i="12" s="1"/>
  <c r="K237" i="13"/>
  <c r="I226" i="13"/>
  <c r="L261" i="13"/>
  <c r="O261" i="13" s="1"/>
  <c r="O263" i="13"/>
  <c r="P19" i="13"/>
  <c r="N132" i="13"/>
  <c r="O132" i="13" s="1"/>
  <c r="K77" i="13"/>
  <c r="I65" i="13"/>
  <c r="K65" i="13" s="1"/>
  <c r="N24" i="13"/>
  <c r="P24" i="13" s="1"/>
  <c r="N16" i="13"/>
  <c r="P26" i="13"/>
  <c r="M16" i="13"/>
  <c r="P298" i="10"/>
  <c r="K143" i="12"/>
  <c r="I131" i="12"/>
  <c r="K131" i="12" s="1"/>
  <c r="P90" i="12"/>
  <c r="M88" i="12"/>
  <c r="P88" i="12" s="1"/>
  <c r="M328" i="11"/>
  <c r="P328" i="11" s="1"/>
  <c r="O183" i="11"/>
  <c r="L402" i="12"/>
  <c r="O402" i="12" s="1"/>
  <c r="L132" i="12"/>
  <c r="O132" i="12" s="1"/>
  <c r="O134" i="12"/>
  <c r="L149" i="10"/>
  <c r="O149" i="10" s="1"/>
  <c r="L119" i="11"/>
  <c r="O119" i="11" s="1"/>
  <c r="L165" i="11"/>
  <c r="O165" i="11" s="1"/>
  <c r="M298" i="11"/>
  <c r="P298" i="11" s="1"/>
  <c r="K275" i="12"/>
  <c r="P151" i="11"/>
  <c r="P181" i="12"/>
  <c r="P183" i="12"/>
  <c r="N345" i="10"/>
  <c r="P345" i="10" s="1"/>
  <c r="P167" i="11"/>
  <c r="L345" i="12"/>
  <c r="O345" i="12" s="1"/>
  <c r="K559" i="12"/>
  <c r="O788" i="12"/>
  <c r="L786" i="12"/>
  <c r="O786" i="12" s="1"/>
  <c r="P167" i="12"/>
  <c r="K364" i="5"/>
  <c r="P90" i="9"/>
  <c r="L786" i="11"/>
  <c r="O786" i="11" s="1"/>
  <c r="L53" i="11"/>
  <c r="O53" i="11" s="1"/>
  <c r="O264" i="12"/>
  <c r="P66" i="10"/>
  <c r="P263" i="3"/>
  <c r="P348" i="10"/>
  <c r="O23" i="12"/>
  <c r="L20" i="12"/>
  <c r="L13" i="12"/>
  <c r="L21" i="12"/>
  <c r="O26" i="12"/>
  <c r="L16" i="12"/>
  <c r="L14" i="12" s="1"/>
  <c r="L9" i="12"/>
  <c r="O15" i="12"/>
  <c r="O121" i="12"/>
  <c r="L119" i="12"/>
  <c r="O119" i="12" s="1"/>
  <c r="O90" i="4"/>
  <c r="L544" i="7"/>
  <c r="O544" i="7" s="1"/>
  <c r="O351" i="7"/>
  <c r="K364" i="7"/>
  <c r="M315" i="8"/>
  <c r="P315" i="8" s="1"/>
  <c r="L149" i="9"/>
  <c r="O149" i="9" s="1"/>
  <c r="P328" i="10"/>
  <c r="O121" i="9"/>
  <c r="L227" i="11"/>
  <c r="O301" i="11"/>
  <c r="K237" i="12"/>
  <c r="I226" i="12"/>
  <c r="O330" i="12"/>
  <c r="L328" i="12"/>
  <c r="O328" i="12" s="1"/>
  <c r="P298" i="12"/>
  <c r="M41" i="12"/>
  <c r="O238" i="12"/>
  <c r="L227" i="12"/>
  <c r="N20" i="12"/>
  <c r="N18" i="12" s="1"/>
  <c r="N13" i="12"/>
  <c r="N11" i="12" s="1"/>
  <c r="N21" i="12"/>
  <c r="P21" i="12" s="1"/>
  <c r="O391" i="12"/>
  <c r="L389" i="12"/>
  <c r="O389" i="12" s="1"/>
  <c r="O152" i="12"/>
  <c r="P29" i="12"/>
  <c r="M28" i="12"/>
  <c r="P28" i="12" s="1"/>
  <c r="O301" i="12"/>
  <c r="L88" i="12"/>
  <c r="O88" i="12" s="1"/>
  <c r="O90" i="12"/>
  <c r="N9" i="12"/>
  <c r="O183" i="4"/>
  <c r="M298" i="7"/>
  <c r="P298" i="7" s="1"/>
  <c r="M66" i="7"/>
  <c r="P66" i="7" s="1"/>
  <c r="P263" i="11"/>
  <c r="P15" i="12"/>
  <c r="M14" i="12"/>
  <c r="L24" i="12"/>
  <c r="O298" i="12"/>
  <c r="O181" i="9"/>
  <c r="O447" i="12"/>
  <c r="K174" i="12"/>
  <c r="I164" i="12"/>
  <c r="K164" i="12" s="1"/>
  <c r="P9" i="12"/>
  <c r="L444" i="5"/>
  <c r="O444" i="5" s="1"/>
  <c r="O134" i="6"/>
  <c r="N20" i="8"/>
  <c r="N18" i="8" s="1"/>
  <c r="O330" i="8"/>
  <c r="P263" i="8"/>
  <c r="L402" i="9"/>
  <c r="O402" i="9" s="1"/>
  <c r="P181" i="9"/>
  <c r="K76" i="10"/>
  <c r="O68" i="10"/>
  <c r="M277" i="11"/>
  <c r="P277" i="11" s="1"/>
  <c r="O263" i="11"/>
  <c r="O33" i="11"/>
  <c r="P43" i="11"/>
  <c r="O687" i="12"/>
  <c r="L685" i="12"/>
  <c r="O685" i="12" s="1"/>
  <c r="O29" i="12"/>
  <c r="O261" i="11"/>
  <c r="L31" i="4"/>
  <c r="O31" i="4" s="1"/>
  <c r="O263" i="3"/>
  <c r="M389" i="6"/>
  <c r="P389" i="6" s="1"/>
  <c r="L629" i="7"/>
  <c r="O629" i="7" s="1"/>
  <c r="P151" i="8"/>
  <c r="O347" i="9"/>
  <c r="L389" i="10"/>
  <c r="O389" i="10" s="1"/>
  <c r="L261" i="10"/>
  <c r="O165" i="10"/>
  <c r="N261" i="10"/>
  <c r="P261" i="10" s="1"/>
  <c r="L523" i="11"/>
  <c r="O523" i="11" s="1"/>
  <c r="L685" i="11"/>
  <c r="O685" i="11" s="1"/>
  <c r="N20" i="11"/>
  <c r="N18" i="11" s="1"/>
  <c r="O167" i="10"/>
  <c r="P347" i="12"/>
  <c r="M345" i="12"/>
  <c r="P345" i="12" s="1"/>
  <c r="J592" i="12"/>
  <c r="K592" i="12" s="1"/>
  <c r="K593" i="12"/>
  <c r="M20" i="12"/>
  <c r="M13" i="12"/>
  <c r="P23" i="12"/>
  <c r="P55" i="11"/>
  <c r="M53" i="11"/>
  <c r="P53" i="11" s="1"/>
  <c r="K288" i="12"/>
  <c r="M328" i="12"/>
  <c r="P328" i="12" s="1"/>
  <c r="N16" i="12"/>
  <c r="N24" i="12"/>
  <c r="P59" i="12"/>
  <c r="O56" i="7"/>
  <c r="N13" i="8"/>
  <c r="N11" i="8" s="1"/>
  <c r="O168" i="9"/>
  <c r="O181" i="8"/>
  <c r="K417" i="9"/>
  <c r="M261" i="11"/>
  <c r="P261" i="11" s="1"/>
  <c r="O446" i="11"/>
  <c r="O21" i="8"/>
  <c r="O328" i="9"/>
  <c r="O55" i="8"/>
  <c r="O330" i="9"/>
  <c r="O167" i="8"/>
  <c r="P300" i="10"/>
  <c r="O351" i="10"/>
  <c r="K433" i="11"/>
  <c r="L41" i="11"/>
  <c r="O41" i="11" s="1"/>
  <c r="P348" i="11"/>
  <c r="N24" i="11"/>
  <c r="O24" i="11" s="1"/>
  <c r="M88" i="11"/>
  <c r="P88" i="11" s="1"/>
  <c r="P183" i="11"/>
  <c r="M181" i="11"/>
  <c r="P181" i="11" s="1"/>
  <c r="K174" i="11"/>
  <c r="I164" i="11"/>
  <c r="K164" i="11" s="1"/>
  <c r="L328" i="6"/>
  <c r="O328" i="6" s="1"/>
  <c r="L119" i="7"/>
  <c r="O119" i="7" s="1"/>
  <c r="O345" i="6"/>
  <c r="P56" i="10"/>
  <c r="L419" i="11"/>
  <c r="O419" i="11" s="1"/>
  <c r="K434" i="10"/>
  <c r="I418" i="10"/>
  <c r="K418" i="10" s="1"/>
  <c r="L181" i="11"/>
  <c r="O181" i="11" s="1"/>
  <c r="L132" i="8"/>
  <c r="O132" i="8" s="1"/>
  <c r="N53" i="8"/>
  <c r="P53" i="8" s="1"/>
  <c r="P23" i="8"/>
  <c r="K433" i="9"/>
  <c r="O135" i="9"/>
  <c r="O167" i="9"/>
  <c r="M149" i="9"/>
  <c r="P149" i="9" s="1"/>
  <c r="P88" i="6"/>
  <c r="P183" i="9"/>
  <c r="O183" i="9"/>
  <c r="L402" i="10"/>
  <c r="O402" i="10" s="1"/>
  <c r="P68" i="10"/>
  <c r="O347" i="11"/>
  <c r="L345" i="11"/>
  <c r="O345" i="11" s="1"/>
  <c r="P545" i="11"/>
  <c r="M544" i="11"/>
  <c r="N444" i="11"/>
  <c r="O444" i="11" s="1"/>
  <c r="O23" i="11"/>
  <c r="L21" i="11"/>
  <c r="O21" i="11" s="1"/>
  <c r="L13" i="11"/>
  <c r="L11" i="11" s="1"/>
  <c r="L20" i="11"/>
  <c r="I65" i="11"/>
  <c r="K65" i="11" s="1"/>
  <c r="K77" i="11"/>
  <c r="O26" i="11"/>
  <c r="L16" i="11"/>
  <c r="L328" i="11"/>
  <c r="O328" i="11" s="1"/>
  <c r="O330" i="11"/>
  <c r="O422" i="11"/>
  <c r="K174" i="10"/>
  <c r="I164" i="10"/>
  <c r="K164" i="10" s="1"/>
  <c r="O43" i="9"/>
  <c r="P183" i="8"/>
  <c r="O134" i="11"/>
  <c r="P134" i="11"/>
  <c r="P391" i="11"/>
  <c r="M389" i="11"/>
  <c r="P389" i="11" s="1"/>
  <c r="P119" i="11"/>
  <c r="L34" i="11"/>
  <c r="O34" i="11" s="1"/>
  <c r="O36" i="11"/>
  <c r="P121" i="11"/>
  <c r="P53" i="6"/>
  <c r="O19" i="11"/>
  <c r="N132" i="11"/>
  <c r="P149" i="11"/>
  <c r="I226" i="11"/>
  <c r="M9" i="11"/>
  <c r="P12" i="11"/>
  <c r="P26" i="11"/>
  <c r="M16" i="11"/>
  <c r="M24" i="11"/>
  <c r="O347" i="10"/>
  <c r="M402" i="11"/>
  <c r="P402" i="11" s="1"/>
  <c r="P404" i="11"/>
  <c r="O12" i="11"/>
  <c r="L9" i="11"/>
  <c r="N414" i="11"/>
  <c r="L149" i="11"/>
  <c r="O149" i="11" s="1"/>
  <c r="P19" i="11"/>
  <c r="K131" i="11"/>
  <c r="O183" i="10"/>
  <c r="O469" i="11"/>
  <c r="M345" i="11"/>
  <c r="P345" i="11" s="1"/>
  <c r="I64" i="11"/>
  <c r="K64" i="11" s="1"/>
  <c r="K76" i="11"/>
  <c r="P23" i="11"/>
  <c r="M20" i="11"/>
  <c r="M13" i="11"/>
  <c r="M21" i="11"/>
  <c r="P21" i="11" s="1"/>
  <c r="P41" i="11"/>
  <c r="N9" i="11"/>
  <c r="K143" i="11"/>
  <c r="O31" i="11"/>
  <c r="K417" i="7"/>
  <c r="L523" i="8"/>
  <c r="O523" i="8" s="1"/>
  <c r="L165" i="8"/>
  <c r="O165" i="8" s="1"/>
  <c r="P55" i="8"/>
  <c r="O53" i="9"/>
  <c r="L419" i="10"/>
  <c r="O419" i="10" s="1"/>
  <c r="L523" i="10"/>
  <c r="O523" i="10" s="1"/>
  <c r="M88" i="10"/>
  <c r="L34" i="6"/>
  <c r="O34" i="6" s="1"/>
  <c r="O421" i="7"/>
  <c r="O345" i="8"/>
  <c r="O300" i="8"/>
  <c r="P69" i="8"/>
  <c r="L181" i="10"/>
  <c r="O181" i="10" s="1"/>
  <c r="P53" i="10"/>
  <c r="L30" i="6"/>
  <c r="O30" i="6" s="1"/>
  <c r="P317" i="6"/>
  <c r="M181" i="8"/>
  <c r="P181" i="8" s="1"/>
  <c r="O149" i="7"/>
  <c r="O90" i="9"/>
  <c r="L16" i="9"/>
  <c r="O16" i="9" s="1"/>
  <c r="L34" i="10"/>
  <c r="O34" i="10" s="1"/>
  <c r="I65" i="10"/>
  <c r="K65" i="10" s="1"/>
  <c r="K77" i="10"/>
  <c r="L315" i="10"/>
  <c r="O315" i="10" s="1"/>
  <c r="O317" i="10"/>
  <c r="N24" i="10"/>
  <c r="P24" i="10" s="1"/>
  <c r="O26" i="10"/>
  <c r="O88" i="6"/>
  <c r="M389" i="8"/>
  <c r="P389" i="8" s="1"/>
  <c r="O88" i="8"/>
  <c r="L544" i="10"/>
  <c r="O544" i="10" s="1"/>
  <c r="L16" i="10"/>
  <c r="L14" i="10" s="1"/>
  <c r="O14" i="10" s="1"/>
  <c r="K417" i="10"/>
  <c r="K275" i="6"/>
  <c r="L402" i="6"/>
  <c r="O402" i="6" s="1"/>
  <c r="O90" i="6"/>
  <c r="L53" i="10"/>
  <c r="O53" i="10" s="1"/>
  <c r="O279" i="8"/>
  <c r="K433" i="10"/>
  <c r="P279" i="10"/>
  <c r="N277" i="10"/>
  <c r="O277" i="10" s="1"/>
  <c r="O19" i="10"/>
  <c r="O263" i="6"/>
  <c r="P134" i="6"/>
  <c r="M389" i="7"/>
  <c r="P389" i="7" s="1"/>
  <c r="P165" i="8"/>
  <c r="O121" i="8"/>
  <c r="P90" i="6"/>
  <c r="P328" i="8"/>
  <c r="O279" i="7"/>
  <c r="O66" i="9"/>
  <c r="K143" i="9"/>
  <c r="N88" i="9"/>
  <c r="O88" i="9" s="1"/>
  <c r="O263" i="9"/>
  <c r="L21" i="10"/>
  <c r="O23" i="10"/>
  <c r="L20" i="10"/>
  <c r="L18" i="10" s="1"/>
  <c r="L13" i="10"/>
  <c r="L11" i="10" s="1"/>
  <c r="L227" i="10"/>
  <c r="O12" i="10"/>
  <c r="L9" i="10"/>
  <c r="N277" i="8"/>
  <c r="O277" i="8" s="1"/>
  <c r="P167" i="8"/>
  <c r="P279" i="8"/>
  <c r="L315" i="9"/>
  <c r="O315" i="9" s="1"/>
  <c r="P545" i="10"/>
  <c r="M544" i="10"/>
  <c r="P544" i="10" s="1"/>
  <c r="N20" i="10"/>
  <c r="N18" i="10" s="1"/>
  <c r="N13" i="10"/>
  <c r="N10" i="10" s="1"/>
  <c r="O469" i="10"/>
  <c r="L467" i="10"/>
  <c r="O467" i="10" s="1"/>
  <c r="P15" i="10"/>
  <c r="P183" i="10"/>
  <c r="M181" i="10"/>
  <c r="P181" i="10" s="1"/>
  <c r="P23" i="10"/>
  <c r="M20" i="10"/>
  <c r="M13" i="10"/>
  <c r="M21" i="10"/>
  <c r="P391" i="10"/>
  <c r="M389" i="10"/>
  <c r="P389" i="10" s="1"/>
  <c r="O279" i="10"/>
  <c r="O66" i="10"/>
  <c r="L34" i="7"/>
  <c r="O34" i="7" s="1"/>
  <c r="K433" i="7"/>
  <c r="O345" i="9"/>
  <c r="N41" i="10"/>
  <c r="P41" i="10" s="1"/>
  <c r="P43" i="10"/>
  <c r="M9" i="10"/>
  <c r="O33" i="10"/>
  <c r="L30" i="10"/>
  <c r="O30" i="10" s="1"/>
  <c r="O43" i="10"/>
  <c r="N9" i="10"/>
  <c r="P26" i="10"/>
  <c r="M16" i="10"/>
  <c r="P16" i="10" s="1"/>
  <c r="L444" i="10"/>
  <c r="O444" i="10" s="1"/>
  <c r="O29" i="10"/>
  <c r="K143" i="10"/>
  <c r="I131" i="10"/>
  <c r="K131" i="10" s="1"/>
  <c r="P167" i="4"/>
  <c r="O41" i="8"/>
  <c r="P419" i="10"/>
  <c r="M414" i="10"/>
  <c r="P414" i="10" s="1"/>
  <c r="P167" i="10"/>
  <c r="M165" i="10"/>
  <c r="P165" i="10" s="1"/>
  <c r="O631" i="10"/>
  <c r="L629" i="10"/>
  <c r="O629" i="10" s="1"/>
  <c r="L31" i="10"/>
  <c r="O31" i="10" s="1"/>
  <c r="N21" i="10"/>
  <c r="K248" i="10"/>
  <c r="I226" i="10"/>
  <c r="O264" i="3"/>
  <c r="L261" i="3"/>
  <c r="O261" i="3" s="1"/>
  <c r="O167" i="4"/>
  <c r="O421" i="5"/>
  <c r="O300" i="6"/>
  <c r="I418" i="7"/>
  <c r="K418" i="7" s="1"/>
  <c r="M21" i="7"/>
  <c r="P21" i="7" s="1"/>
  <c r="O183" i="7"/>
  <c r="L132" i="7"/>
  <c r="O132" i="7" s="1"/>
  <c r="L66" i="8"/>
  <c r="O66" i="8" s="1"/>
  <c r="O446" i="8"/>
  <c r="P330" i="8"/>
  <c r="M277" i="8"/>
  <c r="P298" i="8"/>
  <c r="M315" i="9"/>
  <c r="P315" i="9" s="1"/>
  <c r="O90" i="8"/>
  <c r="P68" i="9"/>
  <c r="P279" i="9"/>
  <c r="M277" i="9"/>
  <c r="P277" i="9" s="1"/>
  <c r="O279" i="9"/>
  <c r="L277" i="9"/>
  <c r="O277" i="9" s="1"/>
  <c r="P318" i="6"/>
  <c r="P138" i="6"/>
  <c r="O789" i="7"/>
  <c r="P168" i="8"/>
  <c r="O167" i="5"/>
  <c r="O33" i="6"/>
  <c r="O279" i="6"/>
  <c r="P88" i="8"/>
  <c r="L685" i="9"/>
  <c r="O685" i="9" s="1"/>
  <c r="I131" i="9"/>
  <c r="K131" i="9" s="1"/>
  <c r="O347" i="8"/>
  <c r="L786" i="9"/>
  <c r="O786" i="9" s="1"/>
  <c r="O788" i="9"/>
  <c r="N277" i="7"/>
  <c r="L419" i="8"/>
  <c r="O419" i="8" s="1"/>
  <c r="L34" i="8"/>
  <c r="O34" i="8" s="1"/>
  <c r="O151" i="8"/>
  <c r="I64" i="9"/>
  <c r="K64" i="9" s="1"/>
  <c r="K76" i="9"/>
  <c r="O55" i="9"/>
  <c r="O91" i="3"/>
  <c r="P277" i="5"/>
  <c r="L34" i="4"/>
  <c r="O34" i="4" s="1"/>
  <c r="M402" i="7"/>
  <c r="P402" i="7" s="1"/>
  <c r="M315" i="7"/>
  <c r="P315" i="7" s="1"/>
  <c r="P90" i="8"/>
  <c r="O69" i="8"/>
  <c r="M66" i="9"/>
  <c r="P66" i="9" s="1"/>
  <c r="O68" i="9"/>
  <c r="P55" i="9"/>
  <c r="M53" i="9"/>
  <c r="P53" i="9" s="1"/>
  <c r="N31" i="9"/>
  <c r="P12" i="9"/>
  <c r="M9" i="9"/>
  <c r="P347" i="9"/>
  <c r="M345" i="9"/>
  <c r="P345" i="9" s="1"/>
  <c r="P68" i="5"/>
  <c r="N414" i="9"/>
  <c r="N9" i="9"/>
  <c r="O261" i="9"/>
  <c r="N132" i="9"/>
  <c r="P132" i="9" s="1"/>
  <c r="P134" i="9"/>
  <c r="P19" i="9"/>
  <c r="P330" i="9"/>
  <c r="M328" i="9"/>
  <c r="P328" i="9" s="1"/>
  <c r="O26" i="9"/>
  <c r="M88" i="9"/>
  <c r="N24" i="9"/>
  <c r="O24" i="9" s="1"/>
  <c r="L389" i="9"/>
  <c r="O389" i="9" s="1"/>
  <c r="M402" i="9"/>
  <c r="P402" i="9" s="1"/>
  <c r="P404" i="9"/>
  <c r="O23" i="9"/>
  <c r="L21" i="9"/>
  <c r="O21" i="9" s="1"/>
  <c r="L13" i="9"/>
  <c r="L11" i="9" s="1"/>
  <c r="L20" i="9"/>
  <c r="L18" i="9" s="1"/>
  <c r="O134" i="9"/>
  <c r="P29" i="9"/>
  <c r="M28" i="9"/>
  <c r="P28" i="9" s="1"/>
  <c r="L227" i="9"/>
  <c r="N13" i="9"/>
  <c r="N10" i="9" s="1"/>
  <c r="P279" i="6"/>
  <c r="M13" i="8"/>
  <c r="M11" i="8" s="1"/>
  <c r="J592" i="9"/>
  <c r="K592" i="9" s="1"/>
  <c r="K593" i="9"/>
  <c r="O19" i="9"/>
  <c r="I418" i="9"/>
  <c r="K418" i="9" s="1"/>
  <c r="K434" i="9"/>
  <c r="P167" i="9"/>
  <c r="M165" i="9"/>
  <c r="P165" i="9" s="1"/>
  <c r="P23" i="9"/>
  <c r="M20" i="9"/>
  <c r="M13" i="9"/>
  <c r="M11" i="9" s="1"/>
  <c r="M21" i="9"/>
  <c r="P21" i="9" s="1"/>
  <c r="P26" i="9"/>
  <c r="M16" i="9"/>
  <c r="P16" i="9" s="1"/>
  <c r="M24" i="9"/>
  <c r="N20" i="9"/>
  <c r="N18" i="9" s="1"/>
  <c r="O280" i="4"/>
  <c r="O151" i="4"/>
  <c r="L402" i="5"/>
  <c r="O402" i="5" s="1"/>
  <c r="M21" i="8"/>
  <c r="P21" i="8" s="1"/>
  <c r="M414" i="9"/>
  <c r="P414" i="9" s="1"/>
  <c r="P419" i="9"/>
  <c r="L629" i="9"/>
  <c r="O629" i="9" s="1"/>
  <c r="O12" i="9"/>
  <c r="L9" i="9"/>
  <c r="L165" i="9"/>
  <c r="O165" i="9" s="1"/>
  <c r="L34" i="9"/>
  <c r="O34" i="9" s="1"/>
  <c r="O36" i="9"/>
  <c r="P15" i="9"/>
  <c r="P263" i="9"/>
  <c r="M261" i="9"/>
  <c r="P261" i="9" s="1"/>
  <c r="O119" i="9"/>
  <c r="L30" i="9"/>
  <c r="N14" i="9"/>
  <c r="N261" i="8"/>
  <c r="P261" i="8" s="1"/>
  <c r="L444" i="9"/>
  <c r="O444" i="9" s="1"/>
  <c r="I65" i="9"/>
  <c r="K65" i="9" s="1"/>
  <c r="K77" i="9"/>
  <c r="O469" i="9"/>
  <c r="L467" i="9"/>
  <c r="O467" i="9" s="1"/>
  <c r="O41" i="9"/>
  <c r="O31" i="9"/>
  <c r="O33" i="9"/>
  <c r="P41" i="9"/>
  <c r="L227" i="8"/>
  <c r="L30" i="7"/>
  <c r="L28" i="7" s="1"/>
  <c r="M20" i="8"/>
  <c r="L402" i="8"/>
  <c r="O402" i="8" s="1"/>
  <c r="M402" i="8"/>
  <c r="P402" i="8" s="1"/>
  <c r="P404" i="8"/>
  <c r="L298" i="8"/>
  <c r="O298" i="8" s="1"/>
  <c r="L66" i="7"/>
  <c r="O66" i="7" s="1"/>
  <c r="K288" i="8"/>
  <c r="J275" i="8"/>
  <c r="K275" i="8" s="1"/>
  <c r="O317" i="8"/>
  <c r="L315" i="8"/>
  <c r="O315" i="8" s="1"/>
  <c r="P68" i="8"/>
  <c r="M66" i="8"/>
  <c r="P66" i="8" s="1"/>
  <c r="P121" i="8"/>
  <c r="M119" i="8"/>
  <c r="P119" i="8" s="1"/>
  <c r="O43" i="3"/>
  <c r="P183" i="5"/>
  <c r="P151" i="7"/>
  <c r="O280" i="8"/>
  <c r="O315" i="6"/>
  <c r="L544" i="8"/>
  <c r="O544" i="8" s="1"/>
  <c r="O546" i="8"/>
  <c r="P134" i="8"/>
  <c r="M132" i="8"/>
  <c r="P132" i="8" s="1"/>
  <c r="P43" i="8"/>
  <c r="M41" i="8"/>
  <c r="P41" i="8" s="1"/>
  <c r="P347" i="8"/>
  <c r="M345" i="8"/>
  <c r="P345" i="8" s="1"/>
  <c r="K433" i="8"/>
  <c r="I417" i="8"/>
  <c r="K417" i="8" s="1"/>
  <c r="N149" i="8"/>
  <c r="L523" i="4"/>
  <c r="O523" i="4" s="1"/>
  <c r="O263" i="8"/>
  <c r="P300" i="8"/>
  <c r="P9" i="8"/>
  <c r="M414" i="8"/>
  <c r="P414" i="8" s="1"/>
  <c r="O19" i="8"/>
  <c r="L402" i="2"/>
  <c r="O402" i="2" s="1"/>
  <c r="O280" i="2"/>
  <c r="O317" i="6"/>
  <c r="K785" i="6"/>
  <c r="P183" i="7"/>
  <c r="O657" i="8"/>
  <c r="N655" i="8"/>
  <c r="L328" i="8"/>
  <c r="O328" i="8" s="1"/>
  <c r="N24" i="8"/>
  <c r="P24" i="8" s="1"/>
  <c r="N16" i="8"/>
  <c r="N14" i="8" s="1"/>
  <c r="K77" i="8"/>
  <c r="I65" i="8"/>
  <c r="K65" i="8" s="1"/>
  <c r="O151" i="7"/>
  <c r="O23" i="8"/>
  <c r="L20" i="8"/>
  <c r="L13" i="8"/>
  <c r="L11" i="8" s="1"/>
  <c r="L786" i="5"/>
  <c r="O786" i="5" s="1"/>
  <c r="K417" i="6"/>
  <c r="O469" i="8"/>
  <c r="L467" i="8"/>
  <c r="O467" i="8" s="1"/>
  <c r="O263" i="2"/>
  <c r="P15" i="8"/>
  <c r="P56" i="8"/>
  <c r="O56" i="8"/>
  <c r="P26" i="8"/>
  <c r="M16" i="8"/>
  <c r="O29" i="8"/>
  <c r="O33" i="8"/>
  <c r="L30" i="8"/>
  <c r="O30" i="8" s="1"/>
  <c r="L31" i="8"/>
  <c r="O31" i="8" s="1"/>
  <c r="I64" i="8"/>
  <c r="K64" i="8" s="1"/>
  <c r="K76" i="8"/>
  <c r="P19" i="8"/>
  <c r="L655" i="5"/>
  <c r="O655" i="5" s="1"/>
  <c r="L149" i="5"/>
  <c r="O149" i="5" s="1"/>
  <c r="P279" i="5"/>
  <c r="M149" i="7"/>
  <c r="P149" i="7" s="1"/>
  <c r="I418" i="8"/>
  <c r="K418" i="8" s="1"/>
  <c r="K434" i="8"/>
  <c r="L685" i="8"/>
  <c r="O685" i="8" s="1"/>
  <c r="K237" i="8"/>
  <c r="I226" i="8"/>
  <c r="O26" i="8"/>
  <c r="L16" i="8"/>
  <c r="L24" i="8"/>
  <c r="L9" i="8"/>
  <c r="O12" i="8"/>
  <c r="L467" i="4"/>
  <c r="O467" i="4" s="1"/>
  <c r="P168" i="4"/>
  <c r="P345" i="5"/>
  <c r="O183" i="5"/>
  <c r="K76" i="6"/>
  <c r="N20" i="7"/>
  <c r="N18" i="7" s="1"/>
  <c r="P23" i="7"/>
  <c r="N16" i="7"/>
  <c r="N14" i="7" s="1"/>
  <c r="O330" i="7"/>
  <c r="N328" i="7"/>
  <c r="O328" i="7" s="1"/>
  <c r="L523" i="2"/>
  <c r="O523" i="2" s="1"/>
  <c r="P280" i="4"/>
  <c r="P328" i="5"/>
  <c r="K785" i="7"/>
  <c r="O21" i="7"/>
  <c r="N181" i="7"/>
  <c r="O181" i="7" s="1"/>
  <c r="M41" i="7"/>
  <c r="P41" i="7" s="1"/>
  <c r="M20" i="7"/>
  <c r="O404" i="7"/>
  <c r="L402" i="7"/>
  <c r="O402" i="7" s="1"/>
  <c r="P261" i="7"/>
  <c r="K433" i="6"/>
  <c r="L389" i="7"/>
  <c r="O389" i="7" s="1"/>
  <c r="O391" i="7"/>
  <c r="O328" i="5"/>
  <c r="K76" i="7"/>
  <c r="P263" i="7"/>
  <c r="O43" i="4"/>
  <c r="O345" i="5"/>
  <c r="M20" i="5"/>
  <c r="M18" i="5" s="1"/>
  <c r="O330" i="5"/>
  <c r="M119" i="7"/>
  <c r="P119" i="7" s="1"/>
  <c r="O261" i="7"/>
  <c r="O300" i="7"/>
  <c r="L298" i="7"/>
  <c r="O298" i="7" s="1"/>
  <c r="M389" i="5"/>
  <c r="P389" i="5" s="1"/>
  <c r="O347" i="5"/>
  <c r="L181" i="5"/>
  <c r="O181" i="5" s="1"/>
  <c r="O53" i="5"/>
  <c r="M13" i="5"/>
  <c r="M11" i="5" s="1"/>
  <c r="O43" i="6"/>
  <c r="L444" i="7"/>
  <c r="O444" i="7" s="1"/>
  <c r="O657" i="7"/>
  <c r="L655" i="7"/>
  <c r="O655" i="7" s="1"/>
  <c r="O347" i="7"/>
  <c r="N345" i="7"/>
  <c r="O345" i="7" s="1"/>
  <c r="L41" i="7"/>
  <c r="O41" i="7" s="1"/>
  <c r="O263" i="7"/>
  <c r="P330" i="7"/>
  <c r="P9" i="7"/>
  <c r="M132" i="4"/>
  <c r="P132" i="4" s="1"/>
  <c r="P69" i="5"/>
  <c r="O277" i="5"/>
  <c r="O53" i="6"/>
  <c r="L419" i="6"/>
  <c r="O419" i="6" s="1"/>
  <c r="N132" i="6"/>
  <c r="P132" i="6" s="1"/>
  <c r="L444" i="6"/>
  <c r="O444" i="6" s="1"/>
  <c r="O446" i="6"/>
  <c r="P167" i="7"/>
  <c r="N165" i="7"/>
  <c r="O165" i="7" s="1"/>
  <c r="P90" i="7"/>
  <c r="N88" i="7"/>
  <c r="O469" i="7"/>
  <c r="O317" i="7"/>
  <c r="L315" i="7"/>
  <c r="O315" i="7" s="1"/>
  <c r="K237" i="7"/>
  <c r="I226" i="7"/>
  <c r="P134" i="7"/>
  <c r="M132" i="7"/>
  <c r="P132" i="7" s="1"/>
  <c r="K174" i="7"/>
  <c r="I164" i="7"/>
  <c r="K164" i="7" s="1"/>
  <c r="O181" i="3"/>
  <c r="L523" i="5"/>
  <c r="O523" i="5" s="1"/>
  <c r="O261" i="4"/>
  <c r="P347" i="5"/>
  <c r="P315" i="6"/>
  <c r="P44" i="6"/>
  <c r="P330" i="5"/>
  <c r="O55" i="6"/>
  <c r="L389" i="6"/>
  <c r="O389" i="6" s="1"/>
  <c r="M345" i="6"/>
  <c r="P345" i="6" s="1"/>
  <c r="O351" i="6"/>
  <c r="O786" i="7"/>
  <c r="N414" i="7"/>
  <c r="P55" i="6"/>
  <c r="O167" i="7"/>
  <c r="O90" i="7"/>
  <c r="J592" i="7"/>
  <c r="K592" i="7" s="1"/>
  <c r="K593" i="7"/>
  <c r="K77" i="7"/>
  <c r="I65" i="7"/>
  <c r="K65" i="7" s="1"/>
  <c r="P15" i="7"/>
  <c r="P419" i="7"/>
  <c r="M414" i="7"/>
  <c r="P414" i="7" s="1"/>
  <c r="J543" i="7"/>
  <c r="K543" i="7" s="1"/>
  <c r="K559" i="7"/>
  <c r="O29" i="7"/>
  <c r="M28" i="7"/>
  <c r="P28" i="7" s="1"/>
  <c r="P29" i="7"/>
  <c r="N30" i="7"/>
  <c r="O33" i="7"/>
  <c r="L227" i="7"/>
  <c r="K288" i="5"/>
  <c r="L629" i="6"/>
  <c r="O629" i="6" s="1"/>
  <c r="I131" i="7"/>
  <c r="K131" i="7" s="1"/>
  <c r="K143" i="7"/>
  <c r="O467" i="7"/>
  <c r="L13" i="7"/>
  <c r="O23" i="7"/>
  <c r="L20" i="7"/>
  <c r="P55" i="7"/>
  <c r="N53" i="7"/>
  <c r="M24" i="7"/>
  <c r="P24" i="7" s="1"/>
  <c r="M16" i="7"/>
  <c r="M10" i="7" s="1"/>
  <c r="P26" i="7"/>
  <c r="O19" i="7"/>
  <c r="O55" i="7"/>
  <c r="L41" i="6"/>
  <c r="O41" i="6" s="1"/>
  <c r="P43" i="6"/>
  <c r="L523" i="7"/>
  <c r="O470" i="7"/>
  <c r="O15" i="7"/>
  <c r="L9" i="7"/>
  <c r="L24" i="7"/>
  <c r="O24" i="7" s="1"/>
  <c r="L16" i="7"/>
  <c r="O26" i="7"/>
  <c r="N31" i="7"/>
  <c r="O31" i="7" s="1"/>
  <c r="N13" i="7"/>
  <c r="P13" i="7" s="1"/>
  <c r="M402" i="3"/>
  <c r="P402" i="3" s="1"/>
  <c r="P277" i="4"/>
  <c r="M149" i="5"/>
  <c r="P149" i="5" s="1"/>
  <c r="O53" i="3"/>
  <c r="L786" i="4"/>
  <c r="O786" i="4" s="1"/>
  <c r="P66" i="3"/>
  <c r="O263" i="4"/>
  <c r="I180" i="5"/>
  <c r="K180" i="5" s="1"/>
  <c r="M132" i="5"/>
  <c r="P132" i="5" s="1"/>
  <c r="M119" i="5"/>
  <c r="P119" i="5" s="1"/>
  <c r="O121" i="5"/>
  <c r="P277" i="6"/>
  <c r="L277" i="6"/>
  <c r="O277" i="6" s="1"/>
  <c r="L227" i="6"/>
  <c r="P165" i="3"/>
  <c r="P149" i="4"/>
  <c r="K417" i="5"/>
  <c r="P43" i="5"/>
  <c r="K537" i="6"/>
  <c r="P330" i="6"/>
  <c r="M328" i="6"/>
  <c r="P328" i="6" s="1"/>
  <c r="M149" i="3"/>
  <c r="P149" i="3" s="1"/>
  <c r="O167" i="3"/>
  <c r="M16" i="4"/>
  <c r="M14" i="4" s="1"/>
  <c r="P279" i="4"/>
  <c r="L227" i="5"/>
  <c r="L16" i="5"/>
  <c r="L14" i="5" s="1"/>
  <c r="L389" i="2"/>
  <c r="O389" i="2" s="1"/>
  <c r="P56" i="3"/>
  <c r="I64" i="3"/>
  <c r="K64" i="3" s="1"/>
  <c r="I164" i="3"/>
  <c r="K164" i="3" s="1"/>
  <c r="L685" i="4"/>
  <c r="O685" i="4" s="1"/>
  <c r="O330" i="4"/>
  <c r="P88" i="5"/>
  <c r="O68" i="5"/>
  <c r="L444" i="4"/>
  <c r="O444" i="4" s="1"/>
  <c r="L16" i="6"/>
  <c r="O26" i="6"/>
  <c r="O15" i="6"/>
  <c r="M28" i="6"/>
  <c r="P28" i="6" s="1"/>
  <c r="P29" i="6"/>
  <c r="P53" i="3"/>
  <c r="O23" i="3"/>
  <c r="P183" i="4"/>
  <c r="L389" i="4"/>
  <c r="O389" i="4" s="1"/>
  <c r="O66" i="5"/>
  <c r="L30" i="4"/>
  <c r="O30" i="4" s="1"/>
  <c r="O279" i="5"/>
  <c r="J364" i="4"/>
  <c r="K364" i="4" s="1"/>
  <c r="O525" i="6"/>
  <c r="N523" i="6"/>
  <c r="K434" i="6"/>
  <c r="I418" i="6"/>
  <c r="K418" i="6" s="1"/>
  <c r="K77" i="6"/>
  <c r="I65" i="6"/>
  <c r="K65" i="6" s="1"/>
  <c r="N20" i="6"/>
  <c r="N18" i="6" s="1"/>
  <c r="N13" i="6"/>
  <c r="N21" i="6"/>
  <c r="P300" i="6"/>
  <c r="N298" i="6"/>
  <c r="O298" i="6" s="1"/>
  <c r="L9" i="6"/>
  <c r="P183" i="6"/>
  <c r="N181" i="6"/>
  <c r="P181" i="6" s="1"/>
  <c r="L24" i="6"/>
  <c r="P184" i="4"/>
  <c r="O165" i="3"/>
  <c r="O469" i="6"/>
  <c r="L467" i="6"/>
  <c r="N16" i="6"/>
  <c r="N14" i="6" s="1"/>
  <c r="N24" i="6"/>
  <c r="P24" i="6" s="1"/>
  <c r="P15" i="6"/>
  <c r="P263" i="6"/>
  <c r="N261" i="6"/>
  <c r="O261" i="6" s="1"/>
  <c r="P121" i="6"/>
  <c r="N119" i="6"/>
  <c r="O119" i="6" s="1"/>
  <c r="N165" i="6"/>
  <c r="O165" i="6" s="1"/>
  <c r="P167" i="6"/>
  <c r="P9" i="6"/>
  <c r="I164" i="6"/>
  <c r="K164" i="6" s="1"/>
  <c r="K174" i="6"/>
  <c r="O23" i="6"/>
  <c r="L20" i="6"/>
  <c r="L13" i="6"/>
  <c r="K237" i="6"/>
  <c r="I226" i="6"/>
  <c r="L21" i="6"/>
  <c r="P181" i="5"/>
  <c r="P545" i="6"/>
  <c r="M544" i="6"/>
  <c r="P544" i="6" s="1"/>
  <c r="L685" i="6"/>
  <c r="O685" i="6" s="1"/>
  <c r="P68" i="6"/>
  <c r="M66" i="6"/>
  <c r="P66" i="6" s="1"/>
  <c r="O318" i="6"/>
  <c r="O788" i="6"/>
  <c r="N786" i="6"/>
  <c r="O786" i="6" s="1"/>
  <c r="M16" i="6"/>
  <c r="P26" i="6"/>
  <c r="P41" i="6"/>
  <c r="M21" i="6"/>
  <c r="P23" i="6"/>
  <c r="M20" i="6"/>
  <c r="M13" i="6"/>
  <c r="N9" i="6"/>
  <c r="N149" i="6"/>
  <c r="O149" i="6" s="1"/>
  <c r="P151" i="6"/>
  <c r="O121" i="6"/>
  <c r="O261" i="5"/>
  <c r="P261" i="5"/>
  <c r="M402" i="5"/>
  <c r="P402" i="5" s="1"/>
  <c r="P404" i="5"/>
  <c r="O317" i="5"/>
  <c r="L315" i="5"/>
  <c r="O315" i="5" s="1"/>
  <c r="K76" i="4"/>
  <c r="M315" i="5"/>
  <c r="P315" i="5" s="1"/>
  <c r="O43" i="5"/>
  <c r="O168" i="5"/>
  <c r="M41" i="5"/>
  <c r="P41" i="5" s="1"/>
  <c r="O279" i="3"/>
  <c r="O91" i="2"/>
  <c r="K275" i="4"/>
  <c r="P68" i="3"/>
  <c r="K433" i="5"/>
  <c r="L34" i="5"/>
  <c r="O34" i="5" s="1"/>
  <c r="O36" i="5"/>
  <c r="P264" i="3"/>
  <c r="P43" i="3"/>
  <c r="O631" i="4"/>
  <c r="I65" i="4"/>
  <c r="K65" i="4" s="1"/>
  <c r="P26" i="4"/>
  <c r="P43" i="4"/>
  <c r="O348" i="4"/>
  <c r="L30" i="5"/>
  <c r="L28" i="5" s="1"/>
  <c r="P55" i="2"/>
  <c r="K434" i="4"/>
  <c r="L132" i="4"/>
  <c r="O132" i="4" s="1"/>
  <c r="O300" i="4"/>
  <c r="L467" i="5"/>
  <c r="O467" i="5" s="1"/>
  <c r="P300" i="5"/>
  <c r="L119" i="2"/>
  <c r="O119" i="2" s="1"/>
  <c r="M119" i="3"/>
  <c r="P119" i="3" s="1"/>
  <c r="L227" i="3"/>
  <c r="P280" i="5"/>
  <c r="P23" i="5"/>
  <c r="P263" i="5"/>
  <c r="O263" i="5"/>
  <c r="O12" i="5"/>
  <c r="L9" i="5"/>
  <c r="O23" i="5"/>
  <c r="L20" i="5"/>
  <c r="L18" i="5" s="1"/>
  <c r="L13" i="5"/>
  <c r="L11" i="5" s="1"/>
  <c r="N16" i="5"/>
  <c r="N14" i="5" s="1"/>
  <c r="N24" i="5"/>
  <c r="O24" i="5" s="1"/>
  <c r="O26" i="5"/>
  <c r="L544" i="2"/>
  <c r="O544" i="2" s="1"/>
  <c r="M389" i="2"/>
  <c r="P389" i="2" s="1"/>
  <c r="O279" i="4"/>
  <c r="P151" i="4"/>
  <c r="O419" i="5"/>
  <c r="L21" i="5"/>
  <c r="P66" i="5"/>
  <c r="P264" i="5"/>
  <c r="O264" i="5"/>
  <c r="P12" i="5"/>
  <c r="M9" i="5"/>
  <c r="O90" i="5"/>
  <c r="L88" i="5"/>
  <c r="O88" i="5" s="1"/>
  <c r="P29" i="5"/>
  <c r="M28" i="5"/>
  <c r="P28" i="5" s="1"/>
  <c r="P90" i="2"/>
  <c r="L34" i="2"/>
  <c r="O34" i="2" s="1"/>
  <c r="M389" i="3"/>
  <c r="P389" i="3" s="1"/>
  <c r="N181" i="4"/>
  <c r="O181" i="4" s="1"/>
  <c r="L165" i="4"/>
  <c r="O165" i="4" s="1"/>
  <c r="O347" i="4"/>
  <c r="P545" i="5"/>
  <c r="M544" i="5"/>
  <c r="P544" i="5" s="1"/>
  <c r="O19" i="5"/>
  <c r="N9" i="5"/>
  <c r="P19" i="5"/>
  <c r="M24" i="5"/>
  <c r="M16" i="5"/>
  <c r="P26" i="5"/>
  <c r="M402" i="4"/>
  <c r="P402" i="4" s="1"/>
  <c r="L41" i="5"/>
  <c r="I418" i="5"/>
  <c r="K418" i="5" s="1"/>
  <c r="K434" i="5"/>
  <c r="O121" i="4"/>
  <c r="L119" i="4"/>
  <c r="O119" i="4" s="1"/>
  <c r="P90" i="5"/>
  <c r="L165" i="5"/>
  <c r="O165" i="5" s="1"/>
  <c r="P300" i="4"/>
  <c r="M298" i="4"/>
  <c r="P298" i="4" s="1"/>
  <c r="O183" i="2"/>
  <c r="I543" i="4"/>
  <c r="K543" i="4" s="1"/>
  <c r="M414" i="5"/>
  <c r="P414" i="5" s="1"/>
  <c r="P419" i="5"/>
  <c r="N30" i="5"/>
  <c r="N28" i="5" s="1"/>
  <c r="N31" i="5"/>
  <c r="O31" i="5" s="1"/>
  <c r="O300" i="5"/>
  <c r="L298" i="5"/>
  <c r="O298" i="5" s="1"/>
  <c r="N20" i="5"/>
  <c r="N18" i="5" s="1"/>
  <c r="N13" i="5"/>
  <c r="N21" i="5"/>
  <c r="P21" i="5" s="1"/>
  <c r="O345" i="4"/>
  <c r="N37" i="5"/>
  <c r="K364" i="2"/>
  <c r="M402" i="2"/>
  <c r="P402" i="2" s="1"/>
  <c r="M66" i="2"/>
  <c r="P66" i="2" s="1"/>
  <c r="P330" i="3"/>
  <c r="L315" i="4"/>
  <c r="O315" i="4" s="1"/>
  <c r="L544" i="5"/>
  <c r="O544" i="5" s="1"/>
  <c r="O546" i="5"/>
  <c r="P167" i="5"/>
  <c r="M165" i="5"/>
  <c r="P165" i="5" s="1"/>
  <c r="I64" i="5"/>
  <c r="K64" i="5" s="1"/>
  <c r="K76" i="5"/>
  <c r="O33" i="5"/>
  <c r="O631" i="5"/>
  <c r="L629" i="5"/>
  <c r="O629" i="5" s="1"/>
  <c r="P53" i="5"/>
  <c r="P55" i="5"/>
  <c r="O55" i="5"/>
  <c r="P15" i="5"/>
  <c r="N53" i="2"/>
  <c r="P53" i="2" s="1"/>
  <c r="I64" i="2"/>
  <c r="K64" i="2" s="1"/>
  <c r="M21" i="4"/>
  <c r="M181" i="4"/>
  <c r="L315" i="3"/>
  <c r="O315" i="3" s="1"/>
  <c r="P263" i="2"/>
  <c r="P347" i="3"/>
  <c r="M119" i="4"/>
  <c r="P119" i="4" s="1"/>
  <c r="N328" i="4"/>
  <c r="O328" i="4" s="1"/>
  <c r="P263" i="4"/>
  <c r="M261" i="4"/>
  <c r="P261" i="4" s="1"/>
  <c r="L41" i="3"/>
  <c r="O41" i="3" s="1"/>
  <c r="M20" i="4"/>
  <c r="M18" i="4" s="1"/>
  <c r="O328" i="2"/>
  <c r="M261" i="2"/>
  <c r="P261" i="2" s="1"/>
  <c r="K364" i="3"/>
  <c r="O183" i="3"/>
  <c r="O55" i="3"/>
  <c r="L30" i="3"/>
  <c r="O30" i="3" s="1"/>
  <c r="L132" i="3"/>
  <c r="O132" i="3" s="1"/>
  <c r="L31" i="3"/>
  <c r="O31" i="3" s="1"/>
  <c r="M165" i="4"/>
  <c r="P165" i="4" s="1"/>
  <c r="N9" i="4"/>
  <c r="L419" i="4"/>
  <c r="K417" i="4"/>
  <c r="L277" i="4"/>
  <c r="O277" i="4" s="1"/>
  <c r="O12" i="4"/>
  <c r="L9" i="4"/>
  <c r="N629" i="4"/>
  <c r="O629" i="4" s="1"/>
  <c r="L88" i="4"/>
  <c r="O88" i="4" s="1"/>
  <c r="K288" i="4"/>
  <c r="L34" i="3"/>
  <c r="O34" i="3" s="1"/>
  <c r="N414" i="4"/>
  <c r="K237" i="4"/>
  <c r="I226" i="4"/>
  <c r="K433" i="4"/>
  <c r="N24" i="4"/>
  <c r="O24" i="4" s="1"/>
  <c r="N16" i="4"/>
  <c r="N14" i="4" s="1"/>
  <c r="O15" i="4"/>
  <c r="P167" i="2"/>
  <c r="O165" i="2"/>
  <c r="L13" i="3"/>
  <c r="O13" i="3" s="1"/>
  <c r="O55" i="2"/>
  <c r="O44" i="3"/>
  <c r="N21" i="3"/>
  <c r="P419" i="4"/>
  <c r="M414" i="4"/>
  <c r="P414" i="4" s="1"/>
  <c r="P41" i="4"/>
  <c r="M66" i="4"/>
  <c r="P66" i="4" s="1"/>
  <c r="P330" i="4"/>
  <c r="O23" i="4"/>
  <c r="L20" i="4"/>
  <c r="L13" i="4"/>
  <c r="L21" i="4"/>
  <c r="L544" i="4"/>
  <c r="O544" i="4" s="1"/>
  <c r="O546" i="4"/>
  <c r="M345" i="4"/>
  <c r="P345" i="4" s="1"/>
  <c r="P347" i="4"/>
  <c r="O55" i="4"/>
  <c r="N53" i="4"/>
  <c r="P55" i="4"/>
  <c r="O238" i="4"/>
  <c r="L227" i="4"/>
  <c r="O68" i="4"/>
  <c r="L66" i="4"/>
  <c r="O66" i="4" s="1"/>
  <c r="O26" i="4"/>
  <c r="L16" i="4"/>
  <c r="O29" i="4"/>
  <c r="M132" i="2"/>
  <c r="P132" i="2" s="1"/>
  <c r="P167" i="3"/>
  <c r="L402" i="4"/>
  <c r="O402" i="4" s="1"/>
  <c r="O470" i="4"/>
  <c r="M315" i="4"/>
  <c r="P315" i="4" s="1"/>
  <c r="P317" i="4"/>
  <c r="M11" i="4"/>
  <c r="P12" i="4"/>
  <c r="M9" i="4"/>
  <c r="O41" i="4"/>
  <c r="L21" i="3"/>
  <c r="P183" i="3"/>
  <c r="P331" i="4"/>
  <c r="P90" i="4"/>
  <c r="M88" i="4"/>
  <c r="P88" i="4" s="1"/>
  <c r="P19" i="4"/>
  <c r="N20" i="4"/>
  <c r="N18" i="4" s="1"/>
  <c r="N13" i="4"/>
  <c r="N11" i="4" s="1"/>
  <c r="P23" i="4"/>
  <c r="N21" i="4"/>
  <c r="L24" i="3"/>
  <c r="L16" i="3"/>
  <c r="L14" i="3" s="1"/>
  <c r="L149" i="3"/>
  <c r="O149" i="3" s="1"/>
  <c r="O151" i="3"/>
  <c r="O657" i="3"/>
  <c r="L655" i="3"/>
  <c r="O655" i="3" s="1"/>
  <c r="O68" i="3"/>
  <c r="L66" i="3"/>
  <c r="O66" i="3" s="1"/>
  <c r="M181" i="3"/>
  <c r="P181" i="3" s="1"/>
  <c r="K537" i="2"/>
  <c r="O90" i="2"/>
  <c r="M41" i="3"/>
  <c r="P41" i="3" s="1"/>
  <c r="P121" i="2"/>
  <c r="M132" i="3"/>
  <c r="P132" i="3" s="1"/>
  <c r="P134" i="3"/>
  <c r="L20" i="3"/>
  <c r="L18" i="3" s="1"/>
  <c r="P328" i="2"/>
  <c r="O631" i="3"/>
  <c r="L629" i="3"/>
  <c r="O629" i="3" s="1"/>
  <c r="O121" i="3"/>
  <c r="L119" i="3"/>
  <c r="O119" i="3" s="1"/>
  <c r="P55" i="3"/>
  <c r="O149" i="2"/>
  <c r="K417" i="3"/>
  <c r="M261" i="3"/>
  <c r="P261" i="3" s="1"/>
  <c r="K288" i="3"/>
  <c r="P90" i="3"/>
  <c r="M88" i="3"/>
  <c r="P88" i="3" s="1"/>
  <c r="P280" i="2"/>
  <c r="I164" i="2"/>
  <c r="K164" i="2" s="1"/>
  <c r="K77" i="2"/>
  <c r="P330" i="2"/>
  <c r="O279" i="2"/>
  <c r="O421" i="2"/>
  <c r="P56" i="2"/>
  <c r="L227" i="2"/>
  <c r="K559" i="3"/>
  <c r="I543" i="3"/>
  <c r="K543" i="3" s="1"/>
  <c r="O347" i="3"/>
  <c r="L345" i="3"/>
  <c r="K433" i="3"/>
  <c r="M21" i="3"/>
  <c r="P23" i="3"/>
  <c r="M20" i="3"/>
  <c r="M13" i="3"/>
  <c r="M544" i="3"/>
  <c r="P544" i="3" s="1"/>
  <c r="P545" i="3"/>
  <c r="M24" i="3"/>
  <c r="P26" i="3"/>
  <c r="M16" i="3"/>
  <c r="L345" i="2"/>
  <c r="O345" i="2" s="1"/>
  <c r="M298" i="2"/>
  <c r="P298" i="2" s="1"/>
  <c r="P183" i="2"/>
  <c r="O181" i="2"/>
  <c r="L544" i="3"/>
  <c r="O544" i="3" s="1"/>
  <c r="L685" i="3"/>
  <c r="O685" i="3" s="1"/>
  <c r="P351" i="3"/>
  <c r="K237" i="3"/>
  <c r="I226" i="3"/>
  <c r="O421" i="3"/>
  <c r="L419" i="3"/>
  <c r="N16" i="3"/>
  <c r="O26" i="3"/>
  <c r="P419" i="3"/>
  <c r="O300" i="3"/>
  <c r="L298" i="3"/>
  <c r="O298" i="3" s="1"/>
  <c r="O19" i="3"/>
  <c r="N20" i="3"/>
  <c r="N18" i="3" s="1"/>
  <c r="L467" i="3"/>
  <c r="O467" i="3" s="1"/>
  <c r="L523" i="3"/>
  <c r="O523" i="3" s="1"/>
  <c r="P279" i="3"/>
  <c r="L88" i="3"/>
  <c r="O90" i="3"/>
  <c r="L328" i="3"/>
  <c r="O330" i="3"/>
  <c r="I65" i="3"/>
  <c r="K65" i="3" s="1"/>
  <c r="K77" i="3"/>
  <c r="L298" i="2"/>
  <c r="O298" i="2" s="1"/>
  <c r="K143" i="3"/>
  <c r="I131" i="3"/>
  <c r="K131" i="3" s="1"/>
  <c r="O391" i="3"/>
  <c r="L389" i="3"/>
  <c r="O389" i="3" s="1"/>
  <c r="I418" i="3"/>
  <c r="K418" i="3" s="1"/>
  <c r="K434" i="3"/>
  <c r="O404" i="3"/>
  <c r="L402" i="3"/>
  <c r="O402" i="3" s="1"/>
  <c r="O12" i="3"/>
  <c r="L9" i="3"/>
  <c r="N328" i="3"/>
  <c r="P328" i="3" s="1"/>
  <c r="P43" i="2"/>
  <c r="M315" i="3"/>
  <c r="P315" i="3" s="1"/>
  <c r="O446" i="3"/>
  <c r="L444" i="3"/>
  <c r="O444" i="3" s="1"/>
  <c r="N345" i="3"/>
  <c r="P345" i="3" s="1"/>
  <c r="N24" i="3"/>
  <c r="N277" i="3"/>
  <c r="P300" i="3"/>
  <c r="M298" i="3"/>
  <c r="P298" i="3" s="1"/>
  <c r="O330" i="2"/>
  <c r="O151" i="2"/>
  <c r="N24" i="2"/>
  <c r="P24" i="2" s="1"/>
  <c r="L315" i="2"/>
  <c r="O315" i="2" s="1"/>
  <c r="O317" i="2"/>
  <c r="O277" i="2"/>
  <c r="M181" i="2"/>
  <c r="P181" i="2" s="1"/>
  <c r="P277" i="2"/>
  <c r="O167" i="2"/>
  <c r="P317" i="2"/>
  <c r="M315" i="2"/>
  <c r="P315" i="2" s="1"/>
  <c r="P279" i="2"/>
  <c r="O134" i="2"/>
  <c r="L132" i="2"/>
  <c r="O132" i="2" s="1"/>
  <c r="M165" i="2"/>
  <c r="P165" i="2" s="1"/>
  <c r="O88" i="2"/>
  <c r="P419" i="2"/>
  <c r="M414" i="2"/>
  <c r="P414" i="2" s="1"/>
  <c r="K237" i="2"/>
  <c r="I226" i="2"/>
  <c r="P545" i="2"/>
  <c r="M544" i="2"/>
  <c r="P544" i="2" s="1"/>
  <c r="P151" i="2"/>
  <c r="M149" i="2"/>
  <c r="P149" i="2" s="1"/>
  <c r="L30" i="2"/>
  <c r="O30" i="2" s="1"/>
  <c r="O33" i="2"/>
  <c r="P168" i="2"/>
  <c r="L66" i="2"/>
  <c r="K433" i="2"/>
  <c r="I417" i="2"/>
  <c r="K417" i="2" s="1"/>
  <c r="P26" i="2"/>
  <c r="M16" i="2"/>
  <c r="P19" i="2"/>
  <c r="O184" i="2"/>
  <c r="M88" i="2"/>
  <c r="P88" i="2" s="1"/>
  <c r="N629" i="2"/>
  <c r="O629" i="2" s="1"/>
  <c r="O631" i="2"/>
  <c r="O470" i="2"/>
  <c r="M21" i="2"/>
  <c r="P23" i="2"/>
  <c r="M20" i="2"/>
  <c r="M13" i="2"/>
  <c r="N20" i="2"/>
  <c r="N18" i="2" s="1"/>
  <c r="N13" i="2"/>
  <c r="N10" i="2" s="1"/>
  <c r="I131" i="2"/>
  <c r="K131" i="2" s="1"/>
  <c r="K143" i="2"/>
  <c r="O446" i="2"/>
  <c r="L444" i="2"/>
  <c r="O444" i="2" s="1"/>
  <c r="N21" i="2"/>
  <c r="K559" i="2"/>
  <c r="I543" i="2"/>
  <c r="K543" i="2" s="1"/>
  <c r="O15" i="2"/>
  <c r="L16" i="2"/>
  <c r="O16" i="2" s="1"/>
  <c r="O26" i="2"/>
  <c r="O19" i="2"/>
  <c r="I418" i="2"/>
  <c r="K418" i="2" s="1"/>
  <c r="K434" i="2"/>
  <c r="O469" i="2"/>
  <c r="P347" i="2"/>
  <c r="M345" i="2"/>
  <c r="P345" i="2" s="1"/>
  <c r="O23" i="2"/>
  <c r="L21" i="2"/>
  <c r="L13" i="2"/>
  <c r="L11" i="2" s="1"/>
  <c r="L20" i="2"/>
  <c r="M28" i="2"/>
  <c r="P28" i="2" s="1"/>
  <c r="O29" i="2"/>
  <c r="O12" i="2"/>
  <c r="L9" i="2"/>
  <c r="O419" i="2"/>
  <c r="P9" i="2"/>
  <c r="L685" i="2"/>
  <c r="O685" i="2" s="1"/>
  <c r="N9" i="2"/>
  <c r="L261" i="2"/>
  <c r="O261" i="2" s="1"/>
  <c r="N41" i="2"/>
  <c r="P41" i="2" s="1"/>
  <c r="O43" i="2"/>
  <c r="P330" i="1"/>
  <c r="O328" i="1"/>
  <c r="P151" i="1"/>
  <c r="L34" i="1"/>
  <c r="O34" i="1" s="1"/>
  <c r="M402" i="1"/>
  <c r="P402" i="1" s="1"/>
  <c r="O657" i="1"/>
  <c r="O263" i="1"/>
  <c r="P317" i="1"/>
  <c r="O317" i="1"/>
  <c r="K233" i="1"/>
  <c r="P263" i="1"/>
  <c r="O789" i="1"/>
  <c r="K236" i="1"/>
  <c r="O300" i="1"/>
  <c r="N658" i="1"/>
  <c r="O658" i="1" s="1"/>
  <c r="N687" i="1"/>
  <c r="O687" i="1" s="1"/>
  <c r="O121" i="1"/>
  <c r="O264" i="1"/>
  <c r="P183" i="1"/>
  <c r="K235" i="1"/>
  <c r="N446" i="1"/>
  <c r="N444" i="1" s="1"/>
  <c r="O660" i="1"/>
  <c r="O209" i="1"/>
  <c r="N632" i="1"/>
  <c r="O632" i="1" s="1"/>
  <c r="O631" i="1"/>
  <c r="O791" i="1"/>
  <c r="M21" i="1"/>
  <c r="N470" i="1"/>
  <c r="O470" i="1" s="1"/>
  <c r="O301" i="1"/>
  <c r="N119" i="1"/>
  <c r="O119" i="1" s="1"/>
  <c r="J593" i="1"/>
  <c r="J592" i="1" s="1"/>
  <c r="K592" i="1" s="1"/>
  <c r="L30" i="1"/>
  <c r="L28" i="1" s="1"/>
  <c r="P23" i="1"/>
  <c r="O183" i="1"/>
  <c r="P279" i="1"/>
  <c r="O134" i="1"/>
  <c r="O69" i="1"/>
  <c r="P300" i="1"/>
  <c r="M328" i="1"/>
  <c r="P328" i="1" s="1"/>
  <c r="M20" i="1"/>
  <c r="M18" i="1" s="1"/>
  <c r="O330" i="1"/>
  <c r="O298" i="1"/>
  <c r="K364" i="1"/>
  <c r="L227" i="1"/>
  <c r="K785" i="1"/>
  <c r="L629" i="1"/>
  <c r="O629" i="1" s="1"/>
  <c r="P168" i="1"/>
  <c r="K112" i="1"/>
  <c r="N788" i="1"/>
  <c r="O788" i="1" s="1"/>
  <c r="N547" i="1"/>
  <c r="O547" i="1" s="1"/>
  <c r="O44" i="1"/>
  <c r="P90" i="1"/>
  <c r="N227" i="1"/>
  <c r="O167" i="1"/>
  <c r="O238" i="1"/>
  <c r="J594" i="1"/>
  <c r="K594" i="1" s="1"/>
  <c r="P66" i="1"/>
  <c r="O217" i="1"/>
  <c r="O690" i="1"/>
  <c r="O634" i="1"/>
  <c r="O132" i="1"/>
  <c r="O279" i="1"/>
  <c r="M24" i="1"/>
  <c r="P88" i="1"/>
  <c r="O688" i="1"/>
  <c r="O528" i="1"/>
  <c r="O526" i="1"/>
  <c r="P134" i="1"/>
  <c r="O472" i="1"/>
  <c r="N422" i="1"/>
  <c r="O422" i="1" s="1"/>
  <c r="L315" i="1"/>
  <c r="O315" i="1" s="1"/>
  <c r="O449" i="1"/>
  <c r="M132" i="1"/>
  <c r="P132" i="1" s="1"/>
  <c r="P26" i="1"/>
  <c r="L13" i="1"/>
  <c r="L11" i="1" s="1"/>
  <c r="N419" i="1"/>
  <c r="O419" i="1" s="1"/>
  <c r="O421" i="1"/>
  <c r="P16" i="1"/>
  <c r="O469" i="1"/>
  <c r="P331" i="1"/>
  <c r="M181" i="1"/>
  <c r="P181" i="1" s="1"/>
  <c r="K576" i="1"/>
  <c r="N655" i="1"/>
  <c r="O655" i="1" s="1"/>
  <c r="L277" i="1"/>
  <c r="N546" i="1"/>
  <c r="N544" i="1" s="1"/>
  <c r="N24" i="1"/>
  <c r="N277" i="1"/>
  <c r="P277" i="1" s="1"/>
  <c r="M315" i="1"/>
  <c r="P315" i="1" s="1"/>
  <c r="M345" i="1"/>
  <c r="P345" i="1" s="1"/>
  <c r="P347" i="1"/>
  <c r="M261" i="1"/>
  <c r="P261" i="1" s="1"/>
  <c r="O90" i="1"/>
  <c r="L88" i="1"/>
  <c r="M298" i="1"/>
  <c r="P298" i="1" s="1"/>
  <c r="N525" i="1"/>
  <c r="N523" i="1" s="1"/>
  <c r="O523" i="1" s="1"/>
  <c r="O261" i="1"/>
  <c r="O198" i="1"/>
  <c r="P43" i="1"/>
  <c r="O165" i="1"/>
  <c r="P391" i="1"/>
  <c r="M389" i="1"/>
  <c r="P389" i="1" s="1"/>
  <c r="P14" i="1"/>
  <c r="P68" i="1"/>
  <c r="O424" i="1"/>
  <c r="O447" i="1"/>
  <c r="K76" i="1"/>
  <c r="K64" i="1"/>
  <c r="J669" i="1"/>
  <c r="K675" i="1"/>
  <c r="N33" i="1"/>
  <c r="N13" i="1" s="1"/>
  <c r="P121" i="1"/>
  <c r="L444" i="1"/>
  <c r="L544" i="1"/>
  <c r="P91" i="1"/>
  <c r="O23" i="1"/>
  <c r="O151" i="1"/>
  <c r="O404" i="1"/>
  <c r="L402" i="1"/>
  <c r="O402" i="1" s="1"/>
  <c r="K77" i="1"/>
  <c r="I65" i="1"/>
  <c r="K65" i="1" s="1"/>
  <c r="O43" i="1"/>
  <c r="O391" i="1"/>
  <c r="L389" i="1"/>
  <c r="O389" i="1" s="1"/>
  <c r="N9" i="1"/>
  <c r="P44" i="1"/>
  <c r="L345" i="1"/>
  <c r="O345" i="1" s="1"/>
  <c r="O347" i="1"/>
  <c r="P19" i="1"/>
  <c r="M414" i="1"/>
  <c r="P414" i="1" s="1"/>
  <c r="L181" i="1"/>
  <c r="O181" i="1" s="1"/>
  <c r="K143" i="1"/>
  <c r="I131" i="1"/>
  <c r="K131" i="1" s="1"/>
  <c r="M28" i="1"/>
  <c r="P28" i="1" s="1"/>
  <c r="P55" i="1"/>
  <c r="O55" i="1"/>
  <c r="M11" i="1"/>
  <c r="P12" i="1"/>
  <c r="M9" i="1"/>
  <c r="O19" i="1"/>
  <c r="I164" i="1"/>
  <c r="K164" i="1" s="1"/>
  <c r="K174" i="1"/>
  <c r="O26" i="1"/>
  <c r="L16" i="1"/>
  <c r="N53" i="1"/>
  <c r="O53" i="1" s="1"/>
  <c r="N41" i="1"/>
  <c r="O41" i="1" s="1"/>
  <c r="K559" i="1"/>
  <c r="K434" i="1"/>
  <c r="I418" i="1"/>
  <c r="K418" i="1" s="1"/>
  <c r="L467" i="1"/>
  <c r="O467" i="1" s="1"/>
  <c r="K237" i="1"/>
  <c r="I226" i="1"/>
  <c r="N20" i="1"/>
  <c r="N18" i="1" s="1"/>
  <c r="N21" i="1"/>
  <c r="L9" i="1"/>
  <c r="O12" i="1"/>
  <c r="M10" i="1"/>
  <c r="P167" i="1"/>
  <c r="M165" i="1"/>
  <c r="P165" i="1" s="1"/>
  <c r="O29" i="1"/>
  <c r="O68" i="1"/>
  <c r="L66" i="1"/>
  <c r="O66" i="1" s="1"/>
  <c r="N149" i="1"/>
  <c r="P149" i="1" s="1"/>
  <c r="L20" i="1"/>
  <c r="L24" i="1"/>
  <c r="P37" i="21" l="1"/>
  <c r="O37" i="21"/>
  <c r="O10" i="21"/>
  <c r="P8" i="21"/>
  <c r="O8" i="21"/>
  <c r="P10" i="21"/>
  <c r="L28" i="15"/>
  <c r="O28" i="15" s="1"/>
  <c r="N11" i="11"/>
  <c r="O11" i="11" s="1"/>
  <c r="O24" i="19"/>
  <c r="O345" i="18"/>
  <c r="L10" i="14"/>
  <c r="L8" i="14" s="1"/>
  <c r="P298" i="19"/>
  <c r="L28" i="19"/>
  <c r="O28" i="19" s="1"/>
  <c r="N10" i="20"/>
  <c r="N8" i="20" s="1"/>
  <c r="P277" i="15"/>
  <c r="O16" i="14"/>
  <c r="P328" i="20"/>
  <c r="O277" i="20"/>
  <c r="P24" i="19"/>
  <c r="P24" i="20"/>
  <c r="O16" i="15"/>
  <c r="O345" i="20"/>
  <c r="L37" i="20"/>
  <c r="O18" i="20"/>
  <c r="P20" i="13"/>
  <c r="N11" i="16"/>
  <c r="P11" i="16" s="1"/>
  <c r="O30" i="20"/>
  <c r="L28" i="20"/>
  <c r="O28" i="20" s="1"/>
  <c r="P261" i="17"/>
  <c r="P181" i="19"/>
  <c r="L414" i="20"/>
  <c r="O414" i="20" s="1"/>
  <c r="N10" i="18"/>
  <c r="P10" i="18" s="1"/>
  <c r="P165" i="19"/>
  <c r="O88" i="20"/>
  <c r="K226" i="20"/>
  <c r="I180" i="20"/>
  <c r="K180" i="20" s="1"/>
  <c r="M37" i="20"/>
  <c r="P41" i="20"/>
  <c r="O16" i="20"/>
  <c r="L14" i="20"/>
  <c r="N37" i="20"/>
  <c r="P88" i="20"/>
  <c r="P9" i="20"/>
  <c r="L28" i="17"/>
  <c r="O28" i="17" s="1"/>
  <c r="N11" i="19"/>
  <c r="P11" i="19" s="1"/>
  <c r="N11" i="20"/>
  <c r="O11" i="20" s="1"/>
  <c r="N14" i="20"/>
  <c r="P14" i="20" s="1"/>
  <c r="P16" i="20"/>
  <c r="O9" i="20"/>
  <c r="O13" i="20"/>
  <c r="L10" i="20"/>
  <c r="M10" i="20"/>
  <c r="P13" i="20"/>
  <c r="O24" i="20"/>
  <c r="O20" i="20"/>
  <c r="P18" i="20"/>
  <c r="P20" i="20"/>
  <c r="P66" i="12"/>
  <c r="P13" i="14"/>
  <c r="M14" i="19"/>
  <c r="P14" i="19" s="1"/>
  <c r="N8" i="19"/>
  <c r="M37" i="19"/>
  <c r="K226" i="9"/>
  <c r="L10" i="17"/>
  <c r="L8" i="17" s="1"/>
  <c r="I180" i="19"/>
  <c r="K180" i="19" s="1"/>
  <c r="K226" i="19"/>
  <c r="L37" i="19"/>
  <c r="P20" i="19"/>
  <c r="O21" i="19"/>
  <c r="L28" i="16"/>
  <c r="O28" i="16" s="1"/>
  <c r="O13" i="17"/>
  <c r="P13" i="18"/>
  <c r="P24" i="17"/>
  <c r="P13" i="19"/>
  <c r="M10" i="19"/>
  <c r="P10" i="19" s="1"/>
  <c r="M414" i="19"/>
  <c r="P414" i="19" s="1"/>
  <c r="O13" i="19"/>
  <c r="L10" i="19"/>
  <c r="L11" i="19"/>
  <c r="O20" i="18"/>
  <c r="P16" i="18"/>
  <c r="O14" i="18"/>
  <c r="L14" i="19"/>
  <c r="O14" i="19" s="1"/>
  <c r="O20" i="19"/>
  <c r="L18" i="19"/>
  <c r="O18" i="19" s="1"/>
  <c r="P165" i="18"/>
  <c r="O419" i="19"/>
  <c r="L414" i="19"/>
  <c r="O414" i="19" s="1"/>
  <c r="P18" i="19"/>
  <c r="K226" i="18"/>
  <c r="I180" i="18"/>
  <c r="K180" i="18" s="1"/>
  <c r="P9" i="19"/>
  <c r="M8" i="19"/>
  <c r="N11" i="18"/>
  <c r="P11" i="18" s="1"/>
  <c r="N37" i="19"/>
  <c r="O41" i="19"/>
  <c r="P41" i="19"/>
  <c r="M11" i="14"/>
  <c r="P11" i="14" s="1"/>
  <c r="O24" i="2"/>
  <c r="N18" i="18"/>
  <c r="O18" i="18" s="1"/>
  <c r="O24" i="17"/>
  <c r="P20" i="18"/>
  <c r="M14" i="17"/>
  <c r="P14" i="17" s="1"/>
  <c r="M18" i="18"/>
  <c r="L414" i="18"/>
  <c r="O414" i="18" s="1"/>
  <c r="O16" i="18"/>
  <c r="M14" i="18"/>
  <c r="P14" i="18" s="1"/>
  <c r="O30" i="18"/>
  <c r="L28" i="18"/>
  <c r="O28" i="18" s="1"/>
  <c r="N10" i="13"/>
  <c r="N8" i="13" s="1"/>
  <c r="O24" i="14"/>
  <c r="O165" i="16"/>
  <c r="L14" i="17"/>
  <c r="O14" i="17" s="1"/>
  <c r="O88" i="18"/>
  <c r="O13" i="18"/>
  <c r="L10" i="18"/>
  <c r="P24" i="18"/>
  <c r="M37" i="18"/>
  <c r="P41" i="18"/>
  <c r="P9" i="18"/>
  <c r="M8" i="18"/>
  <c r="O9" i="18"/>
  <c r="L37" i="18"/>
  <c r="N37" i="18"/>
  <c r="O119" i="18"/>
  <c r="P181" i="14"/>
  <c r="P298" i="15"/>
  <c r="L11" i="14"/>
  <c r="O11" i="14" s="1"/>
  <c r="P18" i="16"/>
  <c r="O53" i="17"/>
  <c r="P261" i="12"/>
  <c r="M37" i="17"/>
  <c r="P13" i="17"/>
  <c r="M10" i="17"/>
  <c r="M11" i="17"/>
  <c r="O261" i="15"/>
  <c r="L414" i="17"/>
  <c r="O414" i="17" s="1"/>
  <c r="L37" i="17"/>
  <c r="P20" i="17"/>
  <c r="M18" i="17"/>
  <c r="P18" i="17" s="1"/>
  <c r="N10" i="17"/>
  <c r="N8" i="17" s="1"/>
  <c r="N11" i="17"/>
  <c r="O11" i="17" s="1"/>
  <c r="L18" i="17"/>
  <c r="O18" i="17" s="1"/>
  <c r="O20" i="17"/>
  <c r="N37" i="17"/>
  <c r="K226" i="17"/>
  <c r="I180" i="17"/>
  <c r="K180" i="17" s="1"/>
  <c r="O13" i="14"/>
  <c r="O30" i="11"/>
  <c r="N10" i="15"/>
  <c r="N8" i="15" s="1"/>
  <c r="O18" i="14"/>
  <c r="L14" i="16"/>
  <c r="O14" i="16" s="1"/>
  <c r="N14" i="15"/>
  <c r="O14" i="15" s="1"/>
  <c r="P345" i="16"/>
  <c r="O345" i="16"/>
  <c r="P24" i="12"/>
  <c r="O30" i="13"/>
  <c r="O20" i="16"/>
  <c r="L18" i="16"/>
  <c r="O18" i="16" s="1"/>
  <c r="P165" i="15"/>
  <c r="M37" i="16"/>
  <c r="P41" i="16"/>
  <c r="N8" i="16"/>
  <c r="I180" i="16"/>
  <c r="K180" i="16" s="1"/>
  <c r="K226" i="16"/>
  <c r="O9" i="16"/>
  <c r="O444" i="16"/>
  <c r="L414" i="16"/>
  <c r="O414" i="16" s="1"/>
  <c r="P16" i="16"/>
  <c r="M14" i="16"/>
  <c r="P14" i="16" s="1"/>
  <c r="P544" i="16"/>
  <c r="M414" i="16"/>
  <c r="P414" i="16" s="1"/>
  <c r="P277" i="16"/>
  <c r="O277" i="16"/>
  <c r="O328" i="16"/>
  <c r="P328" i="16"/>
  <c r="N37" i="15"/>
  <c r="P9" i="16"/>
  <c r="O24" i="16"/>
  <c r="P13" i="16"/>
  <c r="M10" i="16"/>
  <c r="P10" i="16" s="1"/>
  <c r="N37" i="16"/>
  <c r="O53" i="8"/>
  <c r="O13" i="16"/>
  <c r="L10" i="16"/>
  <c r="O10" i="16" s="1"/>
  <c r="L11" i="16"/>
  <c r="O41" i="16"/>
  <c r="L37" i="16"/>
  <c r="P20" i="16"/>
  <c r="O16" i="4"/>
  <c r="N8" i="11"/>
  <c r="N37" i="12"/>
  <c r="P16" i="15"/>
  <c r="P88" i="10"/>
  <c r="P53" i="14"/>
  <c r="O53" i="13"/>
  <c r="L28" i="14"/>
  <c r="O28" i="14" s="1"/>
  <c r="L28" i="12"/>
  <c r="O28" i="12" s="1"/>
  <c r="M14" i="15"/>
  <c r="N11" i="15"/>
  <c r="O11" i="15" s="1"/>
  <c r="O41" i="15"/>
  <c r="L37" i="15"/>
  <c r="L414" i="14"/>
  <c r="O414" i="14" s="1"/>
  <c r="P261" i="14"/>
  <c r="L414" i="15"/>
  <c r="O414" i="15" s="1"/>
  <c r="P13" i="15"/>
  <c r="M10" i="15"/>
  <c r="M11" i="15"/>
  <c r="I180" i="15"/>
  <c r="K180" i="15" s="1"/>
  <c r="K226" i="15"/>
  <c r="P20" i="15"/>
  <c r="M18" i="15"/>
  <c r="P18" i="15" s="1"/>
  <c r="M37" i="15"/>
  <c r="P37" i="15" s="1"/>
  <c r="O13" i="15"/>
  <c r="L10" i="15"/>
  <c r="O9" i="15"/>
  <c r="P9" i="15"/>
  <c r="O20" i="15"/>
  <c r="L18" i="15"/>
  <c r="O18" i="15" s="1"/>
  <c r="L28" i="6"/>
  <c r="O28" i="6" s="1"/>
  <c r="P18" i="14"/>
  <c r="L37" i="14"/>
  <c r="N37" i="14"/>
  <c r="P277" i="7"/>
  <c r="O28" i="13"/>
  <c r="O20" i="14"/>
  <c r="P298" i="14"/>
  <c r="M37" i="14"/>
  <c r="O88" i="13"/>
  <c r="P20" i="7"/>
  <c r="P20" i="11"/>
  <c r="O345" i="10"/>
  <c r="N14" i="14"/>
  <c r="O14" i="14" s="1"/>
  <c r="P24" i="14"/>
  <c r="P9" i="14"/>
  <c r="P16" i="14"/>
  <c r="M14" i="14"/>
  <c r="N10" i="14"/>
  <c r="N8" i="14" s="1"/>
  <c r="M10" i="14"/>
  <c r="M8" i="14" s="1"/>
  <c r="N414" i="14"/>
  <c r="O21" i="3"/>
  <c r="P16" i="13"/>
  <c r="N14" i="13"/>
  <c r="O14" i="13" s="1"/>
  <c r="O9" i="14"/>
  <c r="K226" i="14"/>
  <c r="I180" i="14"/>
  <c r="K180" i="14" s="1"/>
  <c r="P20" i="14"/>
  <c r="P88" i="9"/>
  <c r="M14" i="13"/>
  <c r="O419" i="13"/>
  <c r="L414" i="13"/>
  <c r="O414" i="13" s="1"/>
  <c r="P165" i="6"/>
  <c r="P20" i="8"/>
  <c r="M18" i="13"/>
  <c r="P18" i="13" s="1"/>
  <c r="P9" i="13"/>
  <c r="O9" i="13"/>
  <c r="P132" i="13"/>
  <c r="O16" i="13"/>
  <c r="P13" i="13"/>
  <c r="M10" i="13"/>
  <c r="M11" i="13"/>
  <c r="P11" i="13" s="1"/>
  <c r="P544" i="13"/>
  <c r="M414" i="13"/>
  <c r="P414" i="13" s="1"/>
  <c r="O20" i="13"/>
  <c r="L18" i="13"/>
  <c r="O18" i="13" s="1"/>
  <c r="I180" i="13"/>
  <c r="K180" i="13" s="1"/>
  <c r="K226" i="13"/>
  <c r="M37" i="13"/>
  <c r="P41" i="13"/>
  <c r="O13" i="13"/>
  <c r="L10" i="13"/>
  <c r="L11" i="13"/>
  <c r="O11" i="13" s="1"/>
  <c r="L37" i="13"/>
  <c r="P53" i="13"/>
  <c r="N37" i="13"/>
  <c r="O24" i="13"/>
  <c r="O20" i="11"/>
  <c r="L37" i="12"/>
  <c r="O16" i="12"/>
  <c r="M10" i="4"/>
  <c r="M8" i="4" s="1"/>
  <c r="O13" i="12"/>
  <c r="L10" i="12"/>
  <c r="L11" i="12"/>
  <c r="O11" i="12" s="1"/>
  <c r="O20" i="8"/>
  <c r="O9" i="12"/>
  <c r="O20" i="12"/>
  <c r="L18" i="12"/>
  <c r="O18" i="12" s="1"/>
  <c r="O24" i="12"/>
  <c r="M37" i="12"/>
  <c r="P41" i="12"/>
  <c r="K226" i="12"/>
  <c r="I180" i="12"/>
  <c r="K180" i="12" s="1"/>
  <c r="L28" i="4"/>
  <c r="O28" i="4" s="1"/>
  <c r="L14" i="9"/>
  <c r="O14" i="9" s="1"/>
  <c r="N8" i="10"/>
  <c r="L414" i="11"/>
  <c r="O414" i="11" s="1"/>
  <c r="P24" i="11"/>
  <c r="P16" i="12"/>
  <c r="N14" i="12"/>
  <c r="P14" i="12" s="1"/>
  <c r="P13" i="12"/>
  <c r="M10" i="12"/>
  <c r="M11" i="12"/>
  <c r="P11" i="12" s="1"/>
  <c r="O261" i="10"/>
  <c r="O24" i="10"/>
  <c r="P20" i="12"/>
  <c r="M18" i="12"/>
  <c r="P18" i="12" s="1"/>
  <c r="N10" i="12"/>
  <c r="N8" i="12" s="1"/>
  <c r="L414" i="12"/>
  <c r="O414" i="12" s="1"/>
  <c r="O21" i="12"/>
  <c r="L37" i="9"/>
  <c r="L18" i="11"/>
  <c r="O18" i="11" s="1"/>
  <c r="P277" i="8"/>
  <c r="O16" i="10"/>
  <c r="M37" i="11"/>
  <c r="O9" i="11"/>
  <c r="P16" i="11"/>
  <c r="M14" i="11"/>
  <c r="P14" i="11" s="1"/>
  <c r="P544" i="11"/>
  <c r="M414" i="11"/>
  <c r="P414" i="11" s="1"/>
  <c r="O277" i="7"/>
  <c r="O13" i="11"/>
  <c r="L10" i="11"/>
  <c r="O10" i="11" s="1"/>
  <c r="P13" i="11"/>
  <c r="M10" i="11"/>
  <c r="P10" i="11" s="1"/>
  <c r="M18" i="11"/>
  <c r="P18" i="11" s="1"/>
  <c r="O16" i="11"/>
  <c r="L14" i="11"/>
  <c r="O14" i="11" s="1"/>
  <c r="P9" i="11"/>
  <c r="L37" i="11"/>
  <c r="M11" i="11"/>
  <c r="O132" i="11"/>
  <c r="P132" i="11"/>
  <c r="K226" i="11"/>
  <c r="I180" i="11"/>
  <c r="K180" i="11" s="1"/>
  <c r="N37" i="11"/>
  <c r="L37" i="10"/>
  <c r="N11" i="9"/>
  <c r="O11" i="9" s="1"/>
  <c r="P277" i="10"/>
  <c r="L414" i="10"/>
  <c r="O414" i="10" s="1"/>
  <c r="P20" i="10"/>
  <c r="M18" i="10"/>
  <c r="P18" i="10" s="1"/>
  <c r="L28" i="10"/>
  <c r="O28" i="10" s="1"/>
  <c r="N11" i="10"/>
  <c r="O11" i="10" s="1"/>
  <c r="N37" i="10"/>
  <c r="O41" i="10"/>
  <c r="O9" i="10"/>
  <c r="O21" i="10"/>
  <c r="K226" i="10"/>
  <c r="I180" i="10"/>
  <c r="K180" i="10" s="1"/>
  <c r="O18" i="10"/>
  <c r="M37" i="10"/>
  <c r="N37" i="8"/>
  <c r="P21" i="10"/>
  <c r="M14" i="10"/>
  <c r="P14" i="10" s="1"/>
  <c r="O13" i="10"/>
  <c r="L10" i="10"/>
  <c r="O10" i="10" s="1"/>
  <c r="M18" i="8"/>
  <c r="P18" i="8" s="1"/>
  <c r="P9" i="10"/>
  <c r="P13" i="10"/>
  <c r="M10" i="10"/>
  <c r="P10" i="10" s="1"/>
  <c r="M11" i="10"/>
  <c r="O20" i="10"/>
  <c r="O132" i="6"/>
  <c r="P24" i="9"/>
  <c r="P11" i="8"/>
  <c r="M18" i="7"/>
  <c r="P18" i="7" s="1"/>
  <c r="M37" i="8"/>
  <c r="O20" i="7"/>
  <c r="P20" i="9"/>
  <c r="O11" i="8"/>
  <c r="O18" i="9"/>
  <c r="O20" i="9"/>
  <c r="O9" i="9"/>
  <c r="O13" i="9"/>
  <c r="L10" i="9"/>
  <c r="O10" i="9" s="1"/>
  <c r="O53" i="2"/>
  <c r="P13" i="8"/>
  <c r="M37" i="9"/>
  <c r="O261" i="8"/>
  <c r="M14" i="9"/>
  <c r="P14" i="9" s="1"/>
  <c r="N8" i="9"/>
  <c r="L414" i="9"/>
  <c r="O414" i="9" s="1"/>
  <c r="O30" i="9"/>
  <c r="L28" i="9"/>
  <c r="O28" i="9" s="1"/>
  <c r="P13" i="9"/>
  <c r="M10" i="9"/>
  <c r="P10" i="9" s="1"/>
  <c r="O132" i="9"/>
  <c r="M18" i="9"/>
  <c r="P18" i="9" s="1"/>
  <c r="P9" i="9"/>
  <c r="N37" i="9"/>
  <c r="L37" i="8"/>
  <c r="P181" i="7"/>
  <c r="N10" i="8"/>
  <c r="N8" i="8" s="1"/>
  <c r="P149" i="8"/>
  <c r="O149" i="8"/>
  <c r="P328" i="7"/>
  <c r="O14" i="5"/>
  <c r="P14" i="4"/>
  <c r="P13" i="5"/>
  <c r="P16" i="8"/>
  <c r="I180" i="8"/>
  <c r="K180" i="8" s="1"/>
  <c r="K226" i="8"/>
  <c r="O9" i="8"/>
  <c r="L414" i="8"/>
  <c r="M14" i="8"/>
  <c r="P14" i="8" s="1"/>
  <c r="O13" i="8"/>
  <c r="L10" i="8"/>
  <c r="L8" i="8" s="1"/>
  <c r="O655" i="8"/>
  <c r="N414" i="8"/>
  <c r="O24" i="8"/>
  <c r="P16" i="7"/>
  <c r="M14" i="7"/>
  <c r="P14" i="7" s="1"/>
  <c r="O16" i="8"/>
  <c r="L14" i="8"/>
  <c r="O14" i="8" s="1"/>
  <c r="O16" i="7"/>
  <c r="P345" i="7"/>
  <c r="M10" i="8"/>
  <c r="L28" i="8"/>
  <c r="O28" i="8" s="1"/>
  <c r="L18" i="8"/>
  <c r="O18" i="8" s="1"/>
  <c r="L37" i="6"/>
  <c r="N37" i="7"/>
  <c r="O21" i="6"/>
  <c r="P165" i="7"/>
  <c r="O16" i="6"/>
  <c r="L11" i="3"/>
  <c r="O11" i="3" s="1"/>
  <c r="O523" i="7"/>
  <c r="L414" i="7"/>
  <c r="O414" i="7" s="1"/>
  <c r="P53" i="7"/>
  <c r="P88" i="7"/>
  <c r="O88" i="7"/>
  <c r="P16" i="6"/>
  <c r="L37" i="7"/>
  <c r="O9" i="7"/>
  <c r="L10" i="7"/>
  <c r="L8" i="7" s="1"/>
  <c r="O13" i="7"/>
  <c r="L11" i="7"/>
  <c r="O53" i="7"/>
  <c r="N10" i="7"/>
  <c r="N8" i="7" s="1"/>
  <c r="N11" i="7"/>
  <c r="P11" i="7" s="1"/>
  <c r="M8" i="7"/>
  <c r="P21" i="6"/>
  <c r="L14" i="7"/>
  <c r="O14" i="7" s="1"/>
  <c r="L18" i="7"/>
  <c r="O18" i="7" s="1"/>
  <c r="M37" i="7"/>
  <c r="O30" i="7"/>
  <c r="N28" i="7"/>
  <c r="O28" i="7" s="1"/>
  <c r="K226" i="7"/>
  <c r="I180" i="7"/>
  <c r="K180" i="7" s="1"/>
  <c r="P298" i="6"/>
  <c r="P16" i="5"/>
  <c r="N10" i="6"/>
  <c r="N8" i="6" s="1"/>
  <c r="O20" i="6"/>
  <c r="L18" i="6"/>
  <c r="O18" i="6" s="1"/>
  <c r="O467" i="6"/>
  <c r="L414" i="6"/>
  <c r="N11" i="6"/>
  <c r="M37" i="6"/>
  <c r="N414" i="6"/>
  <c r="O523" i="6"/>
  <c r="P149" i="6"/>
  <c r="P261" i="6"/>
  <c r="O181" i="6"/>
  <c r="O9" i="6"/>
  <c r="P13" i="6"/>
  <c r="M10" i="6"/>
  <c r="M11" i="6"/>
  <c r="I180" i="6"/>
  <c r="K180" i="6" s="1"/>
  <c r="K226" i="6"/>
  <c r="M14" i="6"/>
  <c r="P14" i="6" s="1"/>
  <c r="L14" i="6"/>
  <c r="O14" i="6" s="1"/>
  <c r="P20" i="6"/>
  <c r="M18" i="6"/>
  <c r="P18" i="6" s="1"/>
  <c r="N37" i="6"/>
  <c r="O24" i="6"/>
  <c r="P119" i="6"/>
  <c r="P328" i="4"/>
  <c r="P181" i="4"/>
  <c r="P24" i="5"/>
  <c r="O21" i="5"/>
  <c r="O13" i="6"/>
  <c r="L10" i="6"/>
  <c r="O10" i="6" s="1"/>
  <c r="L11" i="6"/>
  <c r="M414" i="6"/>
  <c r="P414" i="6" s="1"/>
  <c r="M14" i="5"/>
  <c r="P14" i="5" s="1"/>
  <c r="O28" i="5"/>
  <c r="M37" i="5"/>
  <c r="P37" i="5" s="1"/>
  <c r="O30" i="5"/>
  <c r="L414" i="5"/>
  <c r="O414" i="5" s="1"/>
  <c r="O20" i="5"/>
  <c r="P21" i="4"/>
  <c r="O16" i="5"/>
  <c r="N10" i="5"/>
  <c r="N8" i="5" s="1"/>
  <c r="N11" i="5"/>
  <c r="O11" i="5" s="1"/>
  <c r="M10" i="5"/>
  <c r="M8" i="5" s="1"/>
  <c r="O9" i="5"/>
  <c r="P20" i="5"/>
  <c r="O18" i="5"/>
  <c r="L37" i="5"/>
  <c r="O37" i="5" s="1"/>
  <c r="O41" i="5"/>
  <c r="P18" i="5"/>
  <c r="P9" i="5"/>
  <c r="O13" i="5"/>
  <c r="L10" i="5"/>
  <c r="O20" i="3"/>
  <c r="N11" i="2"/>
  <c r="O11" i="2" s="1"/>
  <c r="P21" i="3"/>
  <c r="L14" i="4"/>
  <c r="O14" i="4" s="1"/>
  <c r="L28" i="3"/>
  <c r="O28" i="3" s="1"/>
  <c r="P9" i="4"/>
  <c r="O328" i="3"/>
  <c r="P20" i="4"/>
  <c r="P11" i="4"/>
  <c r="O53" i="4"/>
  <c r="P53" i="4"/>
  <c r="N37" i="4"/>
  <c r="P16" i="4"/>
  <c r="P24" i="4"/>
  <c r="K226" i="4"/>
  <c r="I180" i="4"/>
  <c r="K180" i="4" s="1"/>
  <c r="P18" i="4"/>
  <c r="O21" i="4"/>
  <c r="O419" i="4"/>
  <c r="L414" i="4"/>
  <c r="O414" i="4" s="1"/>
  <c r="L37" i="4"/>
  <c r="O13" i="4"/>
  <c r="L10" i="4"/>
  <c r="L8" i="4" s="1"/>
  <c r="L11" i="4"/>
  <c r="O11" i="4" s="1"/>
  <c r="N10" i="4"/>
  <c r="P13" i="4"/>
  <c r="O20" i="4"/>
  <c r="L18" i="4"/>
  <c r="O18" i="4" s="1"/>
  <c r="M37" i="4"/>
  <c r="O9" i="4"/>
  <c r="O21" i="2"/>
  <c r="O24" i="3"/>
  <c r="L10" i="3"/>
  <c r="L8" i="3" s="1"/>
  <c r="O345" i="3"/>
  <c r="O16" i="3"/>
  <c r="N14" i="3"/>
  <c r="O14" i="3" s="1"/>
  <c r="O419" i="3"/>
  <c r="L414" i="3"/>
  <c r="O414" i="3" s="1"/>
  <c r="M14" i="3"/>
  <c r="P16" i="3"/>
  <c r="M18" i="3"/>
  <c r="P18" i="3" s="1"/>
  <c r="P20" i="3"/>
  <c r="N8" i="2"/>
  <c r="O277" i="3"/>
  <c r="N37" i="3"/>
  <c r="P277" i="3"/>
  <c r="M37" i="3"/>
  <c r="O88" i="3"/>
  <c r="L37" i="3"/>
  <c r="K226" i="3"/>
  <c r="I180" i="3"/>
  <c r="K180" i="3" s="1"/>
  <c r="P24" i="3"/>
  <c r="M11" i="3"/>
  <c r="P11" i="3" s="1"/>
  <c r="P13" i="3"/>
  <c r="M10" i="3"/>
  <c r="M37" i="2"/>
  <c r="M414" i="3"/>
  <c r="P414" i="3" s="1"/>
  <c r="O9" i="3"/>
  <c r="O18" i="3"/>
  <c r="N10" i="3"/>
  <c r="N8" i="3" s="1"/>
  <c r="O20" i="2"/>
  <c r="P20" i="2"/>
  <c r="L414" i="2"/>
  <c r="O414" i="2" s="1"/>
  <c r="P16" i="2"/>
  <c r="M14" i="2"/>
  <c r="P14" i="2" s="1"/>
  <c r="P13" i="2"/>
  <c r="M10" i="2"/>
  <c r="M11" i="2"/>
  <c r="K226" i="2"/>
  <c r="I180" i="2"/>
  <c r="K180" i="2" s="1"/>
  <c r="N37" i="2"/>
  <c r="O41" i="2"/>
  <c r="O9" i="2"/>
  <c r="O13" i="2"/>
  <c r="L10" i="2"/>
  <c r="O10" i="2" s="1"/>
  <c r="L14" i="2"/>
  <c r="O14" i="2" s="1"/>
  <c r="L28" i="2"/>
  <c r="O28" i="2" s="1"/>
  <c r="L18" i="2"/>
  <c r="O18" i="2" s="1"/>
  <c r="P21" i="2"/>
  <c r="M18" i="2"/>
  <c r="P18" i="2" s="1"/>
  <c r="O66" i="2"/>
  <c r="L37" i="2"/>
  <c r="N414" i="2"/>
  <c r="O444" i="1"/>
  <c r="P119" i="1"/>
  <c r="K593" i="1"/>
  <c r="O446" i="1"/>
  <c r="P21" i="1"/>
  <c r="N685" i="1"/>
  <c r="O685" i="1" s="1"/>
  <c r="O227" i="1"/>
  <c r="P24" i="1"/>
  <c r="O525" i="1"/>
  <c r="N786" i="1"/>
  <c r="O786" i="1" s="1"/>
  <c r="M37" i="1"/>
  <c r="L37" i="1"/>
  <c r="O277" i="1"/>
  <c r="O544" i="1"/>
  <c r="O24" i="1"/>
  <c r="O546" i="1"/>
  <c r="N10" i="1"/>
  <c r="N8" i="1" s="1"/>
  <c r="P13" i="1"/>
  <c r="J654" i="1"/>
  <c r="K654" i="1" s="1"/>
  <c r="K669" i="1"/>
  <c r="O88" i="1"/>
  <c r="N31" i="1"/>
  <c r="O31" i="1" s="1"/>
  <c r="N30" i="1"/>
  <c r="O33" i="1"/>
  <c r="O13" i="1"/>
  <c r="P18" i="1"/>
  <c r="O149" i="1"/>
  <c r="O21" i="1"/>
  <c r="N11" i="1"/>
  <c r="O11" i="1" s="1"/>
  <c r="L414" i="1"/>
  <c r="O20" i="1"/>
  <c r="K226" i="1"/>
  <c r="I180" i="1"/>
  <c r="K180" i="1" s="1"/>
  <c r="O16" i="1"/>
  <c r="L14" i="1"/>
  <c r="O14" i="1" s="1"/>
  <c r="L18" i="1"/>
  <c r="O18" i="1" s="1"/>
  <c r="O9" i="1"/>
  <c r="N37" i="1"/>
  <c r="P41" i="1"/>
  <c r="P9" i="1"/>
  <c r="M8" i="1"/>
  <c r="L10" i="1"/>
  <c r="P20" i="1"/>
  <c r="P53" i="1"/>
  <c r="P11" i="11" l="1"/>
  <c r="P10" i="20"/>
  <c r="O10" i="20"/>
  <c r="O10" i="15"/>
  <c r="P10" i="13"/>
  <c r="O11" i="18"/>
  <c r="O8" i="17"/>
  <c r="O37" i="20"/>
  <c r="O37" i="16"/>
  <c r="N8" i="18"/>
  <c r="P8" i="18" s="1"/>
  <c r="O11" i="16"/>
  <c r="O10" i="18"/>
  <c r="P8" i="19"/>
  <c r="L8" i="20"/>
  <c r="O8" i="20" s="1"/>
  <c r="O14" i="20"/>
  <c r="P37" i="19"/>
  <c r="P37" i="20"/>
  <c r="P11" i="20"/>
  <c r="O11" i="19"/>
  <c r="M8" i="20"/>
  <c r="P8" i="20" s="1"/>
  <c r="O10" i="19"/>
  <c r="L8" i="19"/>
  <c r="O8" i="19" s="1"/>
  <c r="O37" i="19"/>
  <c r="O37" i="15"/>
  <c r="L8" i="18"/>
  <c r="O10" i="13"/>
  <c r="P11" i="17"/>
  <c r="O37" i="18"/>
  <c r="P18" i="18"/>
  <c r="P37" i="18"/>
  <c r="P10" i="15"/>
  <c r="O37" i="17"/>
  <c r="P10" i="17"/>
  <c r="M8" i="17"/>
  <c r="P8" i="17" s="1"/>
  <c r="P37" i="12"/>
  <c r="P37" i="17"/>
  <c r="O10" i="17"/>
  <c r="P14" i="15"/>
  <c r="M8" i="16"/>
  <c r="P8" i="16" s="1"/>
  <c r="L8" i="16"/>
  <c r="O8" i="16" s="1"/>
  <c r="P37" i="16"/>
  <c r="M8" i="15"/>
  <c r="P8" i="15" s="1"/>
  <c r="O37" i="12"/>
  <c r="P14" i="13"/>
  <c r="P11" i="15"/>
  <c r="L8" i="15"/>
  <c r="O8" i="15" s="1"/>
  <c r="L8" i="13"/>
  <c r="O8" i="13" s="1"/>
  <c r="P37" i="14"/>
  <c r="O37" i="14"/>
  <c r="P14" i="14"/>
  <c r="O8" i="14"/>
  <c r="P8" i="14"/>
  <c r="O10" i="14"/>
  <c r="P10" i="14"/>
  <c r="P37" i="13"/>
  <c r="O37" i="13"/>
  <c r="M8" i="13"/>
  <c r="P8" i="13" s="1"/>
  <c r="P10" i="4"/>
  <c r="O14" i="12"/>
  <c r="P10" i="12"/>
  <c r="M8" i="12"/>
  <c r="P8" i="12" s="1"/>
  <c r="O10" i="12"/>
  <c r="O37" i="9"/>
  <c r="L8" i="12"/>
  <c r="O8" i="12" s="1"/>
  <c r="M8" i="11"/>
  <c r="P8" i="11" s="1"/>
  <c r="O37" i="8"/>
  <c r="L8" i="11"/>
  <c r="O8" i="11" s="1"/>
  <c r="P11" i="9"/>
  <c r="P37" i="8"/>
  <c r="P37" i="11"/>
  <c r="O37" i="11"/>
  <c r="M8" i="9"/>
  <c r="P8" i="9" s="1"/>
  <c r="O37" i="10"/>
  <c r="P37" i="10"/>
  <c r="P37" i="9"/>
  <c r="M8" i="10"/>
  <c r="P8" i="10" s="1"/>
  <c r="P11" i="10"/>
  <c r="L8" i="10"/>
  <c r="O8" i="10" s="1"/>
  <c r="L8" i="9"/>
  <c r="O8" i="9" s="1"/>
  <c r="O10" i="8"/>
  <c r="O8" i="8"/>
  <c r="O37" i="6"/>
  <c r="O8" i="7"/>
  <c r="O414" i="8"/>
  <c r="P37" i="7"/>
  <c r="O37" i="7"/>
  <c r="P11" i="6"/>
  <c r="P10" i="8"/>
  <c r="M8" i="8"/>
  <c r="P8" i="8" s="1"/>
  <c r="P10" i="7"/>
  <c r="O10" i="7"/>
  <c r="P8" i="7"/>
  <c r="O11" i="7"/>
  <c r="L8" i="6"/>
  <c r="O8" i="6" s="1"/>
  <c r="P11" i="5"/>
  <c r="P10" i="6"/>
  <c r="M8" i="6"/>
  <c r="P8" i="6" s="1"/>
  <c r="O414" i="6"/>
  <c r="O11" i="6"/>
  <c r="O37" i="4"/>
  <c r="P37" i="6"/>
  <c r="O10" i="5"/>
  <c r="P8" i="5"/>
  <c r="P10" i="5"/>
  <c r="P11" i="2"/>
  <c r="P37" i="3"/>
  <c r="L8" i="5"/>
  <c r="O8" i="5" s="1"/>
  <c r="P37" i="4"/>
  <c r="O10" i="3"/>
  <c r="O37" i="2"/>
  <c r="O37" i="3"/>
  <c r="O8" i="3"/>
  <c r="N8" i="4"/>
  <c r="O8" i="4" s="1"/>
  <c r="O10" i="4"/>
  <c r="P37" i="2"/>
  <c r="P14" i="3"/>
  <c r="M8" i="3"/>
  <c r="P8" i="3" s="1"/>
  <c r="P10" i="3"/>
  <c r="L8" i="2"/>
  <c r="O8" i="2" s="1"/>
  <c r="P10" i="2"/>
  <c r="M8" i="2"/>
  <c r="P8" i="2" s="1"/>
  <c r="O10" i="1"/>
  <c r="N414" i="1"/>
  <c r="O414" i="1" s="1"/>
  <c r="P10" i="1"/>
  <c r="O37" i="1"/>
  <c r="P37" i="1"/>
  <c r="N28" i="1"/>
  <c r="O28" i="1" s="1"/>
  <c r="O30" i="1"/>
  <c r="L8" i="1"/>
  <c r="O8" i="1" s="1"/>
  <c r="P8" i="1"/>
  <c r="P11" i="1"/>
  <c r="O8" i="18" l="1"/>
  <c r="P8" i="4"/>
</calcChain>
</file>

<file path=xl/sharedStrings.xml><?xml version="1.0" encoding="utf-8"?>
<sst xmlns="http://schemas.openxmlformats.org/spreadsheetml/2006/main" count="32640" uniqueCount="360">
  <si>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</si>
  <si>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</si>
  <si>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</si>
  <si>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</si>
  <si>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</si>
  <si>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</si>
  <si>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</si>
  <si>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</si>
  <si>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</si>
  <si>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</si>
  <si>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</si>
  <si>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</si>
  <si>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</si>
  <si>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</si>
  <si>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</si>
  <si>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</si>
  <si>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</si>
  <si>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</si>
  <si>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</si>
  <si>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</si>
  <si>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</si>
  <si>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</si>
  <si>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</si>
  <si>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</si>
  <si>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</si>
  <si>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</si>
  <si>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</si>
  <si>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</si>
  <si>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</si>
  <si>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</si>
  <si>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</si>
  <si>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</si>
  <si>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</si>
  <si>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</si>
  <si>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</si>
  <si>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</si>
  <si>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</si>
  <si>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</si>
  <si>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</si>
  <si>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</si>
  <si>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</si>
  <si>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</si>
  <si>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</si>
  <si>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</si>
  <si>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</si>
  <si>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</si>
  <si>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</si>
  <si>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</si>
  <si>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</si>
  <si>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</si>
  <si>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</si>
  <si>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</si>
  <si>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</si>
  <si>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</si>
  <si>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</si>
  <si>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</si>
  <si>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</si>
  <si>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</si>
  <si>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</si>
  <si>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</si>
  <si>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</si>
  <si>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</si>
  <si>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</si>
  <si>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</si>
  <si>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</si>
  <si>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</si>
  <si>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</si>
  <si>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</si>
  <si>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</si>
  <si>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</si>
  <si>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</si>
  <si>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</si>
  <si>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</si>
  <si>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</si>
  <si>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</si>
  <si>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</si>
  <si>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</si>
  <si>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</si>
  <si>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</si>
  <si>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</si>
  <si>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</si>
  <si>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</si>
  <si>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</si>
  <si>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</si>
  <si>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</si>
  <si>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</si>
  <si>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</si>
  <si>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</si>
  <si>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</si>
  <si>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</si>
  <si>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</si>
  <si>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</si>
  <si>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</si>
  <si>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</si>
  <si>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</si>
  <si>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</si>
  <si>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</si>
  <si>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</si>
  <si>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</si>
  <si>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</si>
  <si>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</si>
  <si>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</si>
  <si>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</si>
  <si>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</si>
  <si>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</si>
  <si>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</si>
  <si>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</si>
  <si>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</si>
  <si>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</si>
  <si>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</si>
  <si>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</si>
  <si>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</si>
  <si>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</si>
  <si>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</si>
  <si>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</si>
  <si>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</si>
  <si>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</si>
  <si>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</si>
  <si>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</si>
  <si>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</si>
  <si>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</si>
  <si>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</si>
  <si>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</si>
  <si>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</si>
  <si>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</si>
  <si>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</si>
  <si>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</si>
  <si>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</si>
  <si>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</si>
  <si>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</si>
  <si>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</si>
  <si>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</si>
  <si>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</si>
  <si>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</si>
  <si>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</si>
  <si>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</si>
  <si>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</si>
  <si>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</si>
  <si>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</si>
  <si>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</si>
  <si>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</si>
  <si>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</si>
  <si>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</si>
  <si>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</si>
  <si>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</si>
  <si>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</si>
  <si>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</si>
  <si>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</si>
  <si>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</si>
  <si>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</si>
  <si>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</si>
  <si>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</si>
  <si>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</si>
  <si>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</si>
  <si>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</si>
  <si>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</si>
  <si>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</si>
  <si>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</si>
  <si>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</si>
  <si>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</si>
  <si>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</si>
  <si>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</si>
  <si>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</si>
  <si>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</si>
  <si>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</si>
  <si>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</si>
  <si>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</si>
  <si>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</si>
  <si>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</si>
  <si>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</si>
  <si>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</si>
  <si>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</si>
  <si>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</si>
  <si>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</si>
  <si>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</si>
  <si>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</si>
  <si>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</si>
  <si>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</si>
  <si>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</si>
  <si>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</si>
  <si>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</si>
  <si>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</si>
  <si>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</si>
  <si>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</si>
  <si>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</si>
  <si>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</si>
  <si>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</si>
  <si>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</si>
  <si>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</si>
  <si>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</si>
  <si>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</si>
  <si>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</si>
  <si>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</si>
  <si>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</si>
  <si>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</si>
  <si>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</si>
  <si>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</si>
  <si>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</si>
  <si>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</si>
  <si>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</si>
  <si>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</si>
  <si>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</si>
  <si>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</si>
  <si>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</si>
  <si>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</si>
  <si>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</si>
  <si>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</si>
  <si>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</si>
  <si>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</si>
  <si>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</si>
  <si>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</si>
  <si>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</si>
  <si>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</si>
  <si>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</si>
  <si>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</si>
  <si>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</si>
  <si>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</si>
  <si>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</si>
  <si>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</si>
  <si>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</si>
  <si>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</si>
  <si>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</si>
  <si>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</si>
  <si>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</si>
  <si>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</si>
  <si>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</si>
  <si>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</si>
  <si>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</si>
  <si>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</si>
  <si>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</si>
  <si>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</si>
  <si>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</si>
  <si>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</si>
  <si>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</si>
  <si>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</si>
  <si>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</si>
  <si>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</si>
  <si>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</si>
  <si>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</si>
  <si>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</si>
  <si>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</si>
  <si>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</si>
  <si>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</si>
  <si>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</si>
  <si>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</si>
  <si>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</si>
  <si>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</si>
  <si>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</si>
  <si>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</si>
  <si>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</si>
  <si>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</si>
  <si>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</si>
  <si>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</si>
  <si>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</si>
  <si>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</si>
  <si>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</si>
  <si>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</si>
  <si>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</si>
  <si>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</si>
  <si>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</si>
  <si>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</si>
  <si>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</si>
  <si>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</si>
  <si>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</si>
  <si>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</si>
  <si>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</si>
  <si>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</si>
  <si>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</si>
  <si>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</si>
  <si>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</si>
  <si>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</si>
  <si>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</si>
  <si>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</si>
  <si>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</si>
  <si>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</si>
  <si>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</si>
  <si>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</si>
  <si>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</si>
  <si>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</si>
  <si>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</si>
  <si>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</si>
  <si>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</si>
  <si>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</si>
  <si>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</si>
  <si>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</si>
  <si>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</si>
  <si>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</si>
  <si>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</si>
  <si>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</si>
  <si>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</si>
  <si>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</si>
  <si>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</si>
  <si>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</si>
  <si>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</si>
  <si>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</si>
  <si>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</si>
  <si>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</si>
  <si>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</si>
  <si>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</si>
  <si>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</si>
  <si>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</si>
  <si>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</si>
  <si>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</si>
  <si>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</si>
  <si>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</si>
  <si>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</si>
  <si>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</si>
  <si>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</si>
  <si>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</si>
  <si>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</si>
  <si>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</si>
  <si>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</si>
  <si>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</si>
  <si>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</si>
  <si>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</si>
  <si>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</si>
  <si>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</si>
  <si>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</si>
  <si>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</si>
  <si>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</si>
  <si>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</si>
  <si>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</si>
  <si>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</si>
  <si>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</si>
  <si>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</si>
  <si>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</si>
  <si>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</si>
  <si>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</si>
  <si>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</si>
  <si>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ข้อมูล ณ วันที่ 15 มีนาคม 2566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</si>
  <si>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</si>
  <si>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</si>
  <si>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</si>
  <si>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</si>
  <si>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</si>
  <si>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</si>
  <si>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</si>
  <si>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</si>
  <si>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</si>
  <si>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</si>
  <si>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</si>
  <si>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</si>
  <si>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</si>
  <si>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</si>
  <si>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</si>
  <si>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</si>
  <si>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</si>
  <si>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</si>
  <si>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</si>
  <si>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</si>
  <si>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</si>
  <si>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</si>
  <si>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</si>
  <si>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</si>
  <si>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</si>
  <si>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</si>
  <si>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</si>
  <si>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</si>
  <si>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</si>
  <si>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สำนักงานการปฏิรูปที่ดินจังหวัด อำนาจเจริญ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</si>
</sst>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68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10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5" fillId="2" borderId="13" xfId="0" quotePrefix="1" applyFont="1" applyFill="1" applyBorder="1"/>
    <xf numFmtId="188" fontId="6" fillId="10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2" fillId="23" borderId="13" xfId="0" applyFont="1" applyFill="1" applyBorder="1"/>
    <xf numFmtId="187" fontId="1" fillId="2" borderId="10" xfId="0" applyNumberFormat="1" applyFont="1" applyFill="1" applyBorder="1"/>
    <xf numFmtId="0" fontId="15" fillId="23" borderId="10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8" fontId="32" fillId="10" borderId="11" xfId="0" applyNumberFormat="1" applyFont="1" applyFill="1" applyBorder="1"/>
    <xf numFmtId="0" fontId="29" fillId="0" borderId="0" xfId="0" applyFont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9" fontId="4" fillId="26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10" borderId="4" xfId="0" applyNumberFormat="1" applyFont="1" applyFill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5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187" fontId="44" fillId="30" borderId="9" xfId="0" applyNumberFormat="1" applyFont="1" applyFill="1" applyBorder="1"/>
    <xf numFmtId="187" fontId="44" fillId="30" borderId="10" xfId="0" applyNumberFormat="1" applyFont="1" applyFill="1" applyBorder="1"/>
    <xf numFmtId="0" fontId="45" fillId="30" borderId="10" xfId="0" applyFont="1" applyFill="1" applyBorder="1"/>
    <xf numFmtId="0" fontId="44" fillId="30" borderId="10" xfId="0" applyFont="1" applyFill="1" applyBorder="1"/>
    <xf numFmtId="0" fontId="44" fillId="30" borderId="11" xfId="0" applyFont="1" applyFill="1" applyBorder="1"/>
    <xf numFmtId="189" fontId="47" fillId="30" borderId="11" xfId="0" applyNumberFormat="1" applyFont="1" applyFill="1" applyBorder="1"/>
    <xf numFmtId="188" fontId="47" fillId="30" borderId="11" xfId="0" applyNumberFormat="1" applyFont="1" applyFill="1" applyBorder="1"/>
    <xf numFmtId="188" fontId="48" fillId="30" borderId="11" xfId="0" applyNumberFormat="1" applyFont="1" applyFill="1" applyBorder="1"/>
    <xf numFmtId="0" fontId="50" fillId="30" borderId="10" xfId="0" applyFont="1" applyFill="1" applyBorder="1"/>
    <xf numFmtId="0" fontId="48" fillId="30" borderId="11" xfId="0" applyFont="1" applyFill="1" applyBorder="1"/>
    <xf numFmtId="189" fontId="48" fillId="30" borderId="11" xfId="0" applyNumberFormat="1" applyFont="1" applyFill="1" applyBorder="1"/>
    <xf numFmtId="41" fontId="47" fillId="30" borderId="11" xfId="0" applyNumberFormat="1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5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4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7" fillId="2" borderId="11" xfId="0" applyFont="1" applyFill="1" applyBorder="1"/>
    <xf numFmtId="187" fontId="54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188" fontId="26" fillId="2" borderId="11" xfId="0" applyNumberFormat="1" applyFont="1" applyFill="1" applyBorder="1"/>
    <xf numFmtId="0" fontId="60" fillId="2" borderId="10" xfId="0" applyFont="1" applyFill="1" applyBorder="1"/>
    <xf numFmtId="187" fontId="9" fillId="2" borderId="9" xfId="0" applyNumberFormat="1" applyFont="1" applyFill="1" applyBorder="1"/>
    <xf numFmtId="0" fontId="59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54" fillId="21" borderId="10" xfId="0" quotePrefix="1" applyFont="1" applyFill="1" applyBorder="1"/>
    <xf numFmtId="0" fontId="4" fillId="2" borderId="0" xfId="0" applyFont="1" applyFill="1"/>
    <xf numFmtId="0" fontId="63" fillId="2" borderId="10" xfId="0" applyFont="1" applyFill="1" applyBorder="1"/>
    <xf numFmtId="0" fontId="6" fillId="38" borderId="13" xfId="0" applyFont="1" applyFill="1" applyBorder="1"/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5" fillId="39" borderId="10" xfId="0" applyNumberFormat="1" applyFont="1" applyFill="1" applyBorder="1"/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54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8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59" fillId="2" borderId="10" xfId="0" applyFont="1" applyFill="1" applyBorder="1"/>
    <xf numFmtId="0" fontId="59" fillId="21" borderId="10" xfId="0" applyFont="1" applyFill="1" applyBorder="1"/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187" fontId="65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/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8" fontId="4" fillId="38" borderId="11" xfId="0" applyNumberFormat="1" applyFont="1" applyFill="1" applyBorder="1"/>
    <xf numFmtId="187" fontId="4" fillId="0" borderId="11" xfId="0" applyNumberFormat="1" applyFont="1" applyBorder="1"/>
    <xf numFmtId="187" fontId="9" fillId="38" borderId="10" xfId="0" applyNumberFormat="1" applyFont="1" applyFill="1" applyBorder="1"/>
    <xf numFmtId="187" fontId="59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0" fontId="4" fillId="2" borderId="4" xfId="0" applyFont="1" applyFill="1" applyBorder="1"/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9" fontId="2" fillId="0" borderId="11" xfId="0" applyNumberFormat="1" applyFont="1" applyBorder="1"/>
    <xf numFmtId="188" fontId="2" fillId="0" borderId="11" xfId="0" applyNumberFormat="1" applyFont="1" applyBorder="1"/>
    <xf numFmtId="187" fontId="2" fillId="0" borderId="16" xfId="0" applyNumberFormat="1" applyFont="1" applyBorder="1"/>
    <xf numFmtId="0" fontId="32" fillId="0" borderId="10" xfId="0" applyFont="1" applyBorder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/>
    <xf numFmtId="0" fontId="4" fillId="10" borderId="4" xfId="0" applyFont="1" applyFill="1" applyBorder="1"/>
    <xf numFmtId="189" fontId="6" fillId="10" borderId="11" xfId="0" applyNumberFormat="1" applyFont="1" applyFill="1" applyBorder="1"/>
    <xf numFmtId="189" fontId="4" fillId="21" borderId="11" xfId="0" applyNumberFormat="1" applyFont="1" applyFill="1" applyBorder="1"/>
    <xf numFmtId="187" fontId="32" fillId="0" borderId="9" xfId="0" applyNumberFormat="1" applyFont="1" applyBorder="1"/>
    <xf numFmtId="187" fontId="32" fillId="0" borderId="10" xfId="0" applyNumberFormat="1" applyFont="1" applyBorder="1"/>
    <xf numFmtId="0" fontId="32" fillId="0" borderId="11" xfId="0" applyFont="1" applyBorder="1"/>
    <xf numFmtId="0" fontId="32" fillId="0" borderId="0" xfId="0" applyFont="1"/>
    <xf numFmtId="187" fontId="7" fillId="23" borderId="9" xfId="0" applyNumberFormat="1" applyFont="1" applyFill="1" applyBorder="1"/>
    <xf numFmtId="187" fontId="7" fillId="23" borderId="10" xfId="0" applyNumberFormat="1" applyFont="1" applyFill="1" applyBorder="1"/>
    <xf numFmtId="0" fontId="7" fillId="23" borderId="10" xfId="0" applyFont="1" applyFill="1" applyBorder="1"/>
    <xf numFmtId="0" fontId="7" fillId="23" borderId="11" xfId="0" applyFont="1" applyFill="1" applyBorder="1"/>
    <xf numFmtId="188" fontId="9" fillId="23" borderId="11" xfId="0" applyNumberFormat="1" applyFont="1" applyFill="1" applyBorder="1"/>
    <xf numFmtId="0" fontId="27" fillId="2" borderId="13" xfId="0" quotePrefix="1" applyFont="1" applyFill="1" applyBorder="1"/>
    <xf numFmtId="188" fontId="9" fillId="10" borderId="11" xfId="0" applyNumberFormat="1" applyFont="1" applyFill="1" applyBorder="1"/>
    <xf numFmtId="189" fontId="9" fillId="10" borderId="11" xfId="0" applyNumberFormat="1" applyFont="1" applyFill="1" applyBorder="1"/>
    <xf numFmtId="0" fontId="59" fillId="2" borderId="10" xfId="0" applyFont="1" applyFill="1" applyBorder="1" applyAlignment="1"/>
    <xf numFmtId="0" fontId="0" fillId="0" borderId="0" xfId="0" applyFont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191" fontId="4" fillId="10" borderId="11" xfId="0" applyNumberFormat="1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59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1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54" fillId="2" borderId="10" xfId="0" applyFont="1" applyFill="1" applyBorder="1"/>
    <xf numFmtId="0" fontId="59" fillId="2" borderId="10" xfId="0" applyFont="1" applyFill="1" applyBorder="1"/>
    <xf numFmtId="0" fontId="60" fillId="2" borderId="10" xfId="0" applyFont="1" applyFill="1" applyBorder="1"/>
    <xf numFmtId="0" fontId="54" fillId="2" borderId="13" xfId="0" applyFont="1" applyFill="1" applyBorder="1"/>
    <xf numFmtId="0" fontId="1" fillId="8" borderId="5" xfId="0" applyFont="1" applyFill="1" applyBorder="1"/>
    <xf numFmtId="0" fontId="1" fillId="13" borderId="10" xfId="0" applyFont="1" applyFill="1" applyBorder="1"/>
    <xf numFmtId="0" fontId="1" fillId="15" borderId="5" xfId="0" applyFont="1" applyFill="1" applyBorder="1"/>
    <xf numFmtId="0" fontId="1" fillId="16" borderId="10" xfId="0" applyFont="1" applyFill="1" applyBorder="1"/>
    <xf numFmtId="0" fontId="5" fillId="2" borderId="13" xfId="0" applyFont="1" applyFill="1" applyBorder="1"/>
    <xf numFmtId="0" fontId="0" fillId="0" borderId="0" xfId="0"/>
    <xf numFmtId="0" fontId="60" fillId="2" borderId="10" xfId="0" applyFont="1" applyFill="1" applyBorder="1" applyAlignment="1"/>
    <xf numFmtId="0" fontId="5" fillId="2" borderId="13" xfId="0" applyFont="1" applyFill="1" applyBorder="1" applyAlignment="1"/>
    <xf numFmtId="0" fontId="54" fillId="2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85" zoomScaleNormal="85" zoomScaleSheetLayoutView="85" workbookViewId="0">
      <pane ySplit="6" topLeftCell="A7" activePane="bottomLeft" state="frozen"/>
      <selection activeCell="A2" sqref="A2:P2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bestFit="1" customWidth="1"/>
    <col min="12" max="12" width="24.7109375" bestFit="1" customWidth="1"/>
    <col min="13" max="14" width="23" bestFit="1" customWidth="1"/>
    <col min="15" max="15" width="20.140625" bestFit="1" customWidth="1"/>
    <col min="16" max="16" width="22" bestFit="1" customWidth="1"/>
  </cols>
  <sheetData>
    <row r="1" spans="1:26" ht="19.5">
      <c r="A1" s="1546" t="s">
        <v>0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</row>
    <row r="2" spans="1:26" ht="19.5">
      <c r="A2" s="1546" t="s">
        <v>1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</row>
    <row r="3" spans="1:26" ht="19.5">
      <c r="A3" s="1546" t="s">
        <v>329</v>
      </c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552" t="s">
        <v>2</v>
      </c>
      <c r="B5" s="1547"/>
      <c r="C5" s="1547"/>
      <c r="D5" s="1547"/>
      <c r="E5" s="1547"/>
      <c r="F5" s="1547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41" t="s">
        <v>15</v>
      </c>
      <c r="B7" s="1542"/>
      <c r="C7" s="1542"/>
      <c r="D7" s="1542"/>
      <c r="E7" s="1542"/>
      <c r="F7" s="1542"/>
      <c r="G7" s="154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84175396.210000008</v>
      </c>
      <c r="N8" s="22">
        <f t="shared" ca="1" si="0"/>
        <v>66826546.49999997</v>
      </c>
      <c r="O8" s="22">
        <f t="shared" ref="O8:O16" ca="1" si="1">IF(L8&gt;0,N8*100/L8,0)</f>
        <v>43.317540638837151</v>
      </c>
      <c r="P8" s="22">
        <f t="shared" ref="P8:P16" ca="1" si="2">IF(M8&gt;0,N8*100/M8,0)</f>
        <v>79.389642946594179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84175396.210000008</v>
      </c>
      <c r="N10" s="30">
        <f t="shared" ca="1" si="4"/>
        <v>66826546.49999997</v>
      </c>
      <c r="O10" s="30">
        <f t="shared" ca="1" si="1"/>
        <v>43.317540638837151</v>
      </c>
      <c r="P10" s="30">
        <f t="shared" ca="1" si="2"/>
        <v>79.389642946594179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71086404.400000006</v>
      </c>
      <c r="N11" s="38">
        <f t="shared" ca="1" si="5"/>
        <v>57315054.689999968</v>
      </c>
      <c r="O11" s="38">
        <f t="shared" ca="1" si="1"/>
        <v>40.924962747537485</v>
      </c>
      <c r="P11" s="38">
        <f t="shared" ca="1" si="2"/>
        <v>80.627308658756647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71086404.400000006</v>
      </c>
      <c r="N13" s="45">
        <f t="shared" ca="1" si="7"/>
        <v>57315054.689999968</v>
      </c>
      <c r="O13" s="45">
        <f t="shared" ca="1" si="1"/>
        <v>40.924962747537485</v>
      </c>
      <c r="P13" s="45">
        <f t="shared" ca="1" si="2"/>
        <v>80.627308658756647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13088991.809999999</v>
      </c>
      <c r="N14" s="38">
        <f t="shared" ca="1" si="8"/>
        <v>9511491.8099999987</v>
      </c>
      <c r="O14" s="38">
        <f t="shared" ca="1" si="1"/>
        <v>66.877781285595745</v>
      </c>
      <c r="P14" s="38">
        <f t="shared" ca="1" si="2"/>
        <v>72.667871964998952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13088991.809999999</v>
      </c>
      <c r="N16" s="52">
        <f t="shared" ca="1" si="10"/>
        <v>9511491.8099999987</v>
      </c>
      <c r="O16" s="52">
        <f t="shared" ca="1" si="1"/>
        <v>66.877781285595745</v>
      </c>
      <c r="P16" s="52">
        <f t="shared" ca="1" si="2"/>
        <v>72.667871964998952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541" t="s">
        <v>22</v>
      </c>
      <c r="B17" s="1542"/>
      <c r="C17" s="1542"/>
      <c r="D17" s="1542"/>
      <c r="E17" s="1542"/>
      <c r="F17" s="1542"/>
      <c r="G17" s="154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84175396.210000008</v>
      </c>
      <c r="N18" s="22">
        <f t="shared" ca="1" si="11"/>
        <v>49989854.969999969</v>
      </c>
      <c r="O18" s="22">
        <f t="shared" ref="O18:O26" ca="1" si="12">IF(L18&gt;0,N18*100/L18,0)</f>
        <v>49.711841496431177</v>
      </c>
      <c r="P18" s="22">
        <f t="shared" ref="P18:P26" ca="1" si="13">IF(M18&gt;0,N18*100/M18,0)</f>
        <v>59.387727555550484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84175396.210000008</v>
      </c>
      <c r="N20" s="30">
        <f t="shared" ca="1" si="15"/>
        <v>49989854.969999969</v>
      </c>
      <c r="O20" s="30">
        <f t="shared" ca="1" si="12"/>
        <v>49.711841496431177</v>
      </c>
      <c r="P20" s="30">
        <f t="shared" ca="1" si="13"/>
        <v>59.387727555550484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71086404.400000006</v>
      </c>
      <c r="N21" s="38">
        <f t="shared" ca="1" si="16"/>
        <v>40478363.159999974</v>
      </c>
      <c r="O21" s="38">
        <f t="shared" ca="1" si="12"/>
        <v>46.884116564093837</v>
      </c>
      <c r="P21" s="38">
        <f t="shared" ca="1" si="13"/>
        <v>56.942482182992464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71086404.400000006</v>
      </c>
      <c r="N23" s="45">
        <f ca="1">N46+N58+N71+N93+N124+N137+N154+N186+N170+N266+N282+N303+N320+N333+N350+N394+N407</f>
        <v>40478363.159999974</v>
      </c>
      <c r="O23" s="45">
        <f t="shared" ca="1" si="12"/>
        <v>46.884116564093837</v>
      </c>
      <c r="P23" s="45">
        <f t="shared" ca="1" si="13"/>
        <v>56.942482182992464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13088991.809999999</v>
      </c>
      <c r="N24" s="38">
        <f t="shared" ca="1" si="18"/>
        <v>9511491.8099999987</v>
      </c>
      <c r="O24" s="38">
        <f t="shared" ca="1" si="12"/>
        <v>66.877781285595745</v>
      </c>
      <c r="P24" s="38">
        <f t="shared" ca="1" si="13"/>
        <v>72.667871964998952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13088991.809999999</v>
      </c>
      <c r="N26" s="52">
        <f t="shared" ca="1" si="20"/>
        <v>9511491.8099999987</v>
      </c>
      <c r="O26" s="52">
        <f t="shared" ca="1" si="12"/>
        <v>66.877781285595745</v>
      </c>
      <c r="P26" s="52">
        <f t="shared" ca="1" si="13"/>
        <v>72.667871964998952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541" t="s">
        <v>23</v>
      </c>
      <c r="B27" s="1542"/>
      <c r="C27" s="1542"/>
      <c r="D27" s="1542"/>
      <c r="E27" s="1542"/>
      <c r="F27" s="1542"/>
      <c r="G27" s="154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si="21"/>
        <v>0</v>
      </c>
      <c r="N28" s="22">
        <f t="shared" ca="1" si="21"/>
        <v>16836691.52999999</v>
      </c>
      <c r="O28" s="22">
        <f t="shared" ref="O28:O37" ca="1" si="22">IF(L28&gt;0,N28*100/L28,0)</f>
        <v>31.346191055230182</v>
      </c>
      <c r="P28" s="22">
        <f t="shared" ref="P28:P31" si="23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si="25"/>
        <v>0</v>
      </c>
      <c r="N30" s="30">
        <f t="shared" ca="1" si="25"/>
        <v>16836691.52999999</v>
      </c>
      <c r="O30" s="30">
        <f t="shared" ca="1" si="22"/>
        <v>31.346191055230182</v>
      </c>
      <c r="P30" s="30">
        <f t="shared" si="23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si="26"/>
        <v>0</v>
      </c>
      <c r="N31" s="38">
        <f t="shared" ca="1" si="26"/>
        <v>16836691.52999999</v>
      </c>
      <c r="O31" s="38">
        <f t="shared" ca="1" si="22"/>
        <v>31.346191055230182</v>
      </c>
      <c r="P31" s="38">
        <f t="shared" si="23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si="28"/>
        <v>0</v>
      </c>
      <c r="N33" s="45">
        <f t="shared" ca="1" si="28"/>
        <v>16836691.52999999</v>
      </c>
      <c r="O33" s="45">
        <f t="shared" ca="1" si="22"/>
        <v>31.346191055230182</v>
      </c>
      <c r="P33" s="45">
        <f t="shared" ref="P33:P37" si="29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80301296.210000008</v>
      </c>
      <c r="N37" s="59">
        <f ca="1">N41+N53+N66+N88+N119+N132+N149+N165+N181+N261+N277+N298+N315+N328+N345+N389+N402</f>
        <v>49989854.969999976</v>
      </c>
      <c r="O37" s="59">
        <f t="shared" ca="1" si="22"/>
        <v>49.711841496431191</v>
      </c>
      <c r="P37" s="59">
        <f t="shared" ca="1" si="29"/>
        <v>62.252861820896349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544" t="s">
        <v>27</v>
      </c>
      <c r="C40" s="1533"/>
      <c r="D40" s="1533"/>
      <c r="E40" s="1533"/>
      <c r="F40" s="1533"/>
      <c r="G40" s="15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13351577.4</v>
      </c>
      <c r="N41" s="85">
        <f t="shared" ca="1" si="33"/>
        <v>6609788.3700000001</v>
      </c>
      <c r="O41" s="85">
        <f t="shared" ref="O41:O45" ca="1" si="34">IF(L41&gt;0,N41*100/L41,0)</f>
        <v>50.099014056217293</v>
      </c>
      <c r="P41" s="85">
        <f t="shared" ref="P41:P49" ca="1" si="35">IF(M41&gt;0,N41*100/M41,0)</f>
        <v>49.505673913855304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13351577.4</v>
      </c>
      <c r="N43" s="92">
        <f t="shared" ca="1" si="37"/>
        <v>6609788.3700000001</v>
      </c>
      <c r="O43" s="92">
        <f t="shared" ca="1" si="34"/>
        <v>50.099014056217293</v>
      </c>
      <c r="P43" s="92">
        <f t="shared" ca="1" si="35"/>
        <v>49.505673913855304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13351577.4</v>
      </c>
      <c r="N44" s="38">
        <f t="shared" ca="1" si="38"/>
        <v>6609788.3700000001</v>
      </c>
      <c r="O44" s="38">
        <f t="shared" ca="1" si="34"/>
        <v>50.099014056217293</v>
      </c>
      <c r="P44" s="38">
        <f t="shared" ca="1" si="35"/>
        <v>49.505673913855304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"),13351577.4)</f>
        <v>13351577.4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"),6609788.37)</f>
        <v>6609788.3700000001</v>
      </c>
      <c r="O46" s="45">
        <f ca="1">IF(M46&gt;0,N46*100/M46,0)</f>
        <v>49.505673913855304</v>
      </c>
      <c r="P46" s="45">
        <f t="shared" ca="1" si="35"/>
        <v>49.505673913855304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545" t="s">
        <v>28</v>
      </c>
      <c r="B50" s="1542"/>
      <c r="C50" s="1542"/>
      <c r="D50" s="1542"/>
      <c r="E50" s="1542"/>
      <c r="F50" s="1542"/>
      <c r="G50" s="154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538" t="s">
        <v>29</v>
      </c>
      <c r="C51" s="1533"/>
      <c r="D51" s="1533"/>
      <c r="E51" s="1533"/>
      <c r="F51" s="1533"/>
      <c r="G51" s="15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20271991.809999999</v>
      </c>
      <c r="N53" s="116">
        <f t="shared" ca="1" si="41"/>
        <v>12650973.739999991</v>
      </c>
      <c r="O53" s="116">
        <f t="shared" ref="O53:O61" ca="1" si="42">IF(L53&gt;0,N53*100/L53,0)</f>
        <v>50.591550621648281</v>
      </c>
      <c r="P53" s="116">
        <f t="shared" ref="P53:P61" ca="1" si="43">IF(M53&gt;0,N53*100/M53,0)</f>
        <v>62.406170338720116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20271991.809999999</v>
      </c>
      <c r="N55" s="123">
        <f t="shared" ca="1" si="45"/>
        <v>12650973.739999991</v>
      </c>
      <c r="O55" s="123">
        <f t="shared" ca="1" si="42"/>
        <v>50.591550621648281</v>
      </c>
      <c r="P55" s="123">
        <f t="shared" ca="1" si="43"/>
        <v>62.406170338720116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12326505</v>
      </c>
      <c r="N56" s="38">
        <f t="shared" ca="1" si="46"/>
        <v>8172486.9299999904</v>
      </c>
      <c r="O56" s="38">
        <f t="shared" ca="1" si="42"/>
        <v>51.286072443850308</v>
      </c>
      <c r="P56" s="38">
        <f t="shared" ca="1" si="43"/>
        <v>66.300114509343814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"),12326505)</f>
        <v>12326505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"),8172486.92999999)</f>
        <v>8172486.9299999904</v>
      </c>
      <c r="O58" s="45">
        <f t="shared" ca="1" si="42"/>
        <v>51.286072443850308</v>
      </c>
      <c r="P58" s="45">
        <f t="shared" ca="1" si="43"/>
        <v>66.300114509343814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7945486.8099999996</v>
      </c>
      <c r="N59" s="38">
        <f t="shared" ca="1" si="47"/>
        <v>4478486.8099999996</v>
      </c>
      <c r="O59" s="38">
        <f t="shared" ca="1" si="42"/>
        <v>49.371478447800676</v>
      </c>
      <c r="P59" s="38">
        <f t="shared" ca="1" si="43"/>
        <v>56.365165748730249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"),7945486.81)</f>
        <v>7945486.8099999996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"),4478486.81)</f>
        <v>4478486.8099999996</v>
      </c>
      <c r="O61" s="52">
        <f t="shared" ca="1" si="42"/>
        <v>49.371478447800676</v>
      </c>
      <c r="P61" s="52">
        <f t="shared" ca="1" si="43"/>
        <v>56.365165748730249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16</v>
      </c>
      <c r="K64" s="145">
        <f t="shared" ref="K64:K65" ca="1" si="49">IF(I64&gt;0,J64*100/I64,0)</f>
        <v>94.117647058823536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700</v>
      </c>
      <c r="K65" s="145">
        <f t="shared" ca="1" si="49"/>
        <v>92.10526315789474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9957240</v>
      </c>
      <c r="N66" s="155">
        <f t="shared" ca="1" si="51"/>
        <v>5870651.9199999999</v>
      </c>
      <c r="O66" s="155">
        <f t="shared" ref="O66:O74" ca="1" si="52">IF(L66&gt;0,N66*100/L66,0)</f>
        <v>45.392808474445218</v>
      </c>
      <c r="P66" s="155">
        <f t="shared" ref="P66:P74" ca="1" si="53">IF(M66&gt;0,N66*100/M66,0)</f>
        <v>58.958626285998932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9957240</v>
      </c>
      <c r="N68" s="45">
        <f t="shared" ca="1" si="55"/>
        <v>5870651.9199999999</v>
      </c>
      <c r="O68" s="45">
        <f t="shared" ca="1" si="52"/>
        <v>45.392808474445218</v>
      </c>
      <c r="P68" s="45">
        <f t="shared" ca="1" si="53"/>
        <v>58.958626285998932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9957240</v>
      </c>
      <c r="N69" s="38">
        <f t="shared" ca="1" si="56"/>
        <v>5870651.9199999999</v>
      </c>
      <c r="O69" s="38">
        <f t="shared" ca="1" si="52"/>
        <v>45.392808474445218</v>
      </c>
      <c r="P69" s="38">
        <f t="shared" ca="1" si="53"/>
        <v>58.958626285998932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"),9957240)</f>
        <v>9957240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"),5870651.92)</f>
        <v>5870651.9199999999</v>
      </c>
      <c r="O71" s="45">
        <f t="shared" ca="1" si="52"/>
        <v>45.392808474445218</v>
      </c>
      <c r="P71" s="45">
        <f t="shared" ca="1" si="53"/>
        <v>58.958626285998932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16</v>
      </c>
      <c r="K76" s="163">
        <f t="shared" ref="K76:K84" ca="1" si="59">IF(I76&gt;0,J76*100/I76,0)</f>
        <v>94.117647058823536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700</v>
      </c>
      <c r="K77" s="163">
        <f t="shared" ca="1" si="59"/>
        <v>92.10526315789474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"),240)</f>
        <v>240</v>
      </c>
      <c r="K81" s="163">
        <f t="shared" ca="1" si="59"/>
        <v>88.888888888888886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"),7)</f>
        <v>7</v>
      </c>
      <c r="K82" s="163">
        <f t="shared" ca="1" si="59"/>
        <v>87.5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"),343)</f>
        <v>343</v>
      </c>
      <c r="K83" s="163">
        <f t="shared" ca="1" si="59"/>
        <v>91.957104557640747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"),1)</f>
        <v>1</v>
      </c>
      <c r="K84" s="163">
        <f t="shared" ca="1" si="59"/>
        <v>5.882352941176471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645</v>
      </c>
      <c r="K86" s="145">
        <f t="shared" ref="K86:K87" ca="1" si="62">IF(I86&gt;0,J86*100/I86,0)</f>
        <v>81.132075471698116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215</v>
      </c>
      <c r="K87" s="145">
        <f t="shared" ca="1" si="62"/>
        <v>81.132075471698116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1878460</v>
      </c>
      <c r="N88" s="155">
        <f t="shared" ca="1" si="64"/>
        <v>1098617.97</v>
      </c>
      <c r="O88" s="155">
        <f t="shared" ref="O88:O96" ca="1" si="65">IF(L88&gt;0,N88*100/L88,0)</f>
        <v>47.781371832676598</v>
      </c>
      <c r="P88" s="155">
        <f t="shared" ref="P88:P96" ca="1" si="66">IF(M88&gt;0,N88*100/M88,0)</f>
        <v>58.48503401722688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1878460</v>
      </c>
      <c r="N90" s="45">
        <f t="shared" ca="1" si="68"/>
        <v>1098617.97</v>
      </c>
      <c r="O90" s="45">
        <f t="shared" ca="1" si="65"/>
        <v>47.781371832676598</v>
      </c>
      <c r="P90" s="45">
        <f t="shared" ca="1" si="66"/>
        <v>58.48503401722688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1878460</v>
      </c>
      <c r="N91" s="38">
        <f t="shared" ca="1" si="69"/>
        <v>1098617.97</v>
      </c>
      <c r="O91" s="38">
        <f t="shared" ca="1" si="65"/>
        <v>47.781371832676598</v>
      </c>
      <c r="P91" s="38">
        <f t="shared" ca="1" si="66"/>
        <v>58.48503401722688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"),1878460)</f>
        <v>1878460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"),1098617.97)</f>
        <v>1098617.97</v>
      </c>
      <c r="O93" s="45">
        <f t="shared" ca="1" si="65"/>
        <v>47.781371832676598</v>
      </c>
      <c r="P93" s="45">
        <f t="shared" ca="1" si="66"/>
        <v>58.48503401722688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645</v>
      </c>
      <c r="K98" s="38">
        <f t="shared" ref="K98:K100" ca="1" si="71">IF(I98&gt;0,J98*100/I98,0)</f>
        <v>81.132075471698116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215</v>
      </c>
      <c r="K99" s="38">
        <f t="shared" ca="1" si="71"/>
        <v>81.132075471698116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11</v>
      </c>
      <c r="K100" s="38">
        <f t="shared" ca="1" si="71"/>
        <v>33.333333333333336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"),645)</f>
        <v>645</v>
      </c>
      <c r="K102" s="38">
        <f t="shared" ref="K102:K104" ca="1" si="72">IF(I102&gt;0,J102*100/I102,0)</f>
        <v>81.132075471698116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"),225)</f>
        <v>225</v>
      </c>
      <c r="K103" s="38">
        <f t="shared" ca="1" si="72"/>
        <v>84.905660377358487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"),215)</f>
        <v>215</v>
      </c>
      <c r="K104" s="38">
        <f t="shared" ca="1" si="72"/>
        <v>81.132075471698116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"),7)</f>
        <v>7</v>
      </c>
      <c r="K106" s="38">
        <f t="shared" ref="K106:K107" ca="1" si="73">IF(I106&gt;0,J106*100/I106,0)</f>
        <v>38.888888888888886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"),7)</f>
        <v>7</v>
      </c>
      <c r="K107" s="38">
        <f t="shared" ca="1" si="73"/>
        <v>38.888888888888886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"),4)</f>
        <v>4</v>
      </c>
      <c r="K109" s="38">
        <f t="shared" ref="K109:K116" ca="1" si="74">IF(I109&gt;0,J109*100/I109,0)</f>
        <v>26.666666666666668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"),4)</f>
        <v>4</v>
      </c>
      <c r="K110" s="38">
        <f t="shared" ca="1" si="74"/>
        <v>26.666666666666668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0</v>
      </c>
      <c r="K111" s="195">
        <f t="shared" ca="1" si="74"/>
        <v>0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0</v>
      </c>
      <c r="K112" s="195">
        <f t="shared" ca="1" si="74"/>
        <v>0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"),0)</f>
        <v>0</v>
      </c>
      <c r="K113" s="38">
        <f t="shared" ca="1" si="74"/>
        <v>0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"),0)</f>
        <v>0</v>
      </c>
      <c r="K114" s="38">
        <f t="shared" ca="1" si="74"/>
        <v>0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"),0)</f>
        <v>0</v>
      </c>
      <c r="K115" s="38">
        <f t="shared" ca="1" si="74"/>
        <v>0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"),3)</f>
        <v>3</v>
      </c>
      <c r="K118" s="145">
        <f ca="1">IF(I118&gt;0,J118*100/I118,0)</f>
        <v>50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13</v>
      </c>
      <c r="K130" s="145">
        <f t="shared" ref="K130:K131" ca="1" si="84">IF(I130&gt;0,J130*100/I130,0)</f>
        <v>92.857142857142861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70</v>
      </c>
      <c r="K131" s="145">
        <f t="shared" ca="1" si="84"/>
        <v>50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2309250</v>
      </c>
      <c r="N132" s="155">
        <f t="shared" ca="1" si="86"/>
        <v>1972134</v>
      </c>
      <c r="O132" s="155">
        <f t="shared" ref="O132:O140" ca="1" si="87">IF(L132&gt;0,N132*100/L132,0)</f>
        <v>80.149477560077543</v>
      </c>
      <c r="P132" s="155">
        <f t="shared" ref="P132:P140" ca="1" si="88">IF(M132&gt;0,N132*100/M132,0)</f>
        <v>85.401493991555697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2309250</v>
      </c>
      <c r="N134" s="45">
        <f t="shared" ca="1" si="90"/>
        <v>1972134</v>
      </c>
      <c r="O134" s="45">
        <f t="shared" ca="1" si="87"/>
        <v>80.149477560077543</v>
      </c>
      <c r="P134" s="45">
        <f t="shared" ca="1" si="88"/>
        <v>85.401493991555697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867250</v>
      </c>
      <c r="N135" s="38">
        <f t="shared" ca="1" si="91"/>
        <v>530634</v>
      </c>
      <c r="O135" s="38">
        <f t="shared" ca="1" si="87"/>
        <v>52.095977694218362</v>
      </c>
      <c r="P135" s="38">
        <f t="shared" ca="1" si="88"/>
        <v>61.185817238397235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"),867250)</f>
        <v>867250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"),530634)</f>
        <v>530634</v>
      </c>
      <c r="O137" s="45">
        <f t="shared" ca="1" si="87"/>
        <v>52.095977694218362</v>
      </c>
      <c r="P137" s="45">
        <f t="shared" ca="1" si="88"/>
        <v>61.185817238397235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"),50)</f>
        <v>50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"),70)</f>
        <v>70</v>
      </c>
      <c r="K143" s="38">
        <f t="shared" ref="K143:K146" ca="1" si="93">IF(I143&gt;0,J143*100/I143,0)</f>
        <v>50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"),70)</f>
        <v>70</v>
      </c>
      <c r="K144" s="38">
        <f t="shared" ca="1" si="93"/>
        <v>100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"),90)</f>
        <v>90</v>
      </c>
      <c r="K145" s="38">
        <f t="shared" ca="1" si="93"/>
        <v>64.285714285714292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"),13)</f>
        <v>13</v>
      </c>
      <c r="K146" s="38">
        <f t="shared" ca="1" si="93"/>
        <v>92.857142857142861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113</v>
      </c>
      <c r="K148" s="145">
        <f ca="1">IF(I148&gt;0,J148*100/I148,0)</f>
        <v>86.92307692307692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92410</v>
      </c>
      <c r="O149" s="155">
        <f t="shared" ref="O149:O157" ca="1" si="96">IF(L149&gt;0,N149*100/L149,0)</f>
        <v>142.16923076923078</v>
      </c>
      <c r="P149" s="155">
        <f t="shared" ref="P149:P157" ca="1" si="97">IF(M149&gt;0,N149*100/M149,0)</f>
        <v>58.706562480147383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92410</v>
      </c>
      <c r="O151" s="45">
        <f t="shared" ca="1" si="96"/>
        <v>142.16923076923078</v>
      </c>
      <c r="P151" s="45">
        <f t="shared" ca="1" si="97"/>
        <v>58.706562480147383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92410</v>
      </c>
      <c r="O152" s="38">
        <f t="shared" ca="1" si="96"/>
        <v>142.16923076923078</v>
      </c>
      <c r="P152" s="38">
        <f t="shared" ca="1" si="97"/>
        <v>58.706562480147383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"),92410)</f>
        <v>92410</v>
      </c>
      <c r="O154" s="45">
        <f t="shared" ca="1" si="96"/>
        <v>142.16923076923078</v>
      </c>
      <c r="P154" s="45">
        <f t="shared" ca="1" si="97"/>
        <v>58.706562480147383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"),113)</f>
        <v>113</v>
      </c>
      <c r="K159" s="38">
        <f ca="1">IF(I159&gt;0,J159*100/I159,0)</f>
        <v>86.92307692307692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479062</v>
      </c>
      <c r="O165" s="155">
        <f t="shared" ref="O165:O173" ca="1" si="104">IF(L165&gt;0,N165*100/L165,0)</f>
        <v>113.5056627019855</v>
      </c>
      <c r="P165" s="155">
        <f t="shared" ref="P165:P173" ca="1" si="105">IF(M165&gt;0,N165*100/M165,0)</f>
        <v>94.539893039685822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479062</v>
      </c>
      <c r="O167" s="45">
        <f t="shared" ca="1" si="104"/>
        <v>113.5056627019855</v>
      </c>
      <c r="P167" s="45">
        <f t="shared" ca="1" si="105"/>
        <v>94.539893039685822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479062</v>
      </c>
      <c r="O168" s="38">
        <f t="shared" ca="1" si="104"/>
        <v>113.5056627019855</v>
      </c>
      <c r="P168" s="38">
        <f t="shared" ca="1" si="105"/>
        <v>94.539893039685822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"),479062)</f>
        <v>479062</v>
      </c>
      <c r="O170" s="45">
        <f t="shared" ca="1" si="104"/>
        <v>113.5056627019855</v>
      </c>
      <c r="P170" s="45">
        <f t="shared" ca="1" si="105"/>
        <v>94.539893039685822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30</v>
      </c>
      <c r="K180" s="254">
        <f ca="1">IF(I180&gt;0,J180*100/I180,0)</f>
        <v>25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3077400</v>
      </c>
      <c r="N181" s="155">
        <f t="shared" ca="1" si="112"/>
        <v>1807204.8399999901</v>
      </c>
      <c r="O181" s="155">
        <f t="shared" ref="O181:O189" ca="1" si="113">IF(L181&gt;0,N181*100/L181,0)</f>
        <v>49.225201972053227</v>
      </c>
      <c r="P181" s="155">
        <f t="shared" ref="P181:P189" ca="1" si="114">IF(M181&gt;0,N181*100/M181,0)</f>
        <v>58.725054916487622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3077400</v>
      </c>
      <c r="N183" s="45">
        <f t="shared" ca="1" si="116"/>
        <v>1807204.8399999901</v>
      </c>
      <c r="O183" s="45">
        <f t="shared" ca="1" si="113"/>
        <v>49.225201972053227</v>
      </c>
      <c r="P183" s="45">
        <f t="shared" ca="1" si="114"/>
        <v>58.725054916487622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3077400</v>
      </c>
      <c r="N184" s="38">
        <f t="shared" ca="1" si="117"/>
        <v>1807204.8399999901</v>
      </c>
      <c r="O184" s="38">
        <f t="shared" ca="1" si="113"/>
        <v>49.225201972053227</v>
      </c>
      <c r="P184" s="38">
        <f t="shared" ca="1" si="114"/>
        <v>58.725054916487622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"),3077400)</f>
        <v>3077400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"),1807204.83999999)</f>
        <v>1807204.8399999901</v>
      </c>
      <c r="O186" s="45">
        <f t="shared" ca="1" si="113"/>
        <v>49.225201972053227</v>
      </c>
      <c r="P186" s="45">
        <f t="shared" ca="1" si="114"/>
        <v>58.725054916487622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29</v>
      </c>
      <c r="K190" s="273">
        <f ca="1">IF(I190&gt;0,J190*100/I190,0)</f>
        <v>36.25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"),13855)</f>
        <v>13855</v>
      </c>
      <c r="O191" s="155">
        <f ca="1">IF(L191&gt;0,N191*100/L191,0)</f>
        <v>11.545833333333333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"),29)</f>
        <v>29</v>
      </c>
      <c r="K193" s="38">
        <f ca="1">IF(I193&gt;0,J193*100/I193,0)</f>
        <v>36.25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831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"),816)</f>
        <v>816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47</v>
      </c>
      <c r="K197" s="273">
        <f ca="1">IF(I197&gt;0,J197*100/I197,0)</f>
        <v>81.034482758620683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400368</v>
      </c>
      <c r="O198" s="155">
        <f ca="1">IF(L198&gt;0,N198*100/L198,0)</f>
        <v>50.743726235741448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"),32648)</f>
        <v>32648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"),338720)</f>
        <v>338720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"),24000)</f>
        <v>24000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"),5000)</f>
        <v>5000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"),47)</f>
        <v>47</v>
      </c>
      <c r="K204" s="163">
        <f ca="1">IF(I204&gt;0,J204*100/I204,0)</f>
        <v>81.034482758620683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"),22)</f>
        <v>22</v>
      </c>
      <c r="K206" s="163">
        <f t="shared" ref="K206:K208" ca="1" si="121">IF(I206&gt;0,J206*100/I206,0)</f>
        <v>37.931034482758619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"),2)</f>
        <v>2</v>
      </c>
      <c r="K207" s="163">
        <f t="shared" ca="1" si="121"/>
        <v>28.571428571428573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244595.25</v>
      </c>
      <c r="O209" s="155">
        <f ca="1">IF(L209&gt;0,N209*100/L209,0)</f>
        <v>64.707738095238099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"),15110)</f>
        <v>15110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"),25000)</f>
        <v>25000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"),204485.25)</f>
        <v>204485.25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"),6)</f>
        <v>6</v>
      </c>
      <c r="K214" s="38">
        <f t="shared" ref="K214:K216" ca="1" si="123">IF(I214&gt;0,J214*100/I214,0)</f>
        <v>22.222222222222221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37648</v>
      </c>
      <c r="O217" s="155">
        <f ca="1">IF(L217&gt;0,N217*100/L217,0)</f>
        <v>10.362785576658409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"),5000)</f>
        <v>5000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"),7068)</f>
        <v>7068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"),25580)</f>
        <v>25580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"),92800)</f>
        <v>92800</v>
      </c>
      <c r="K223" s="163">
        <f t="shared" ref="K223:K226" ca="1" si="125">IF(I223&gt;0,J223*100/I223,0)</f>
        <v>10.805775500698649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"),30)</f>
        <v>30</v>
      </c>
      <c r="K225" s="163">
        <f t="shared" ca="1" si="125"/>
        <v>75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0</v>
      </c>
      <c r="K226" s="300">
        <f t="shared" ca="1" si="125"/>
        <v>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163100</v>
      </c>
      <c r="O227" s="311">
        <f ca="1">IF(L227&gt;0,N227*100/L227,0)</f>
        <v>29.334532374100718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78080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85020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0</v>
      </c>
      <c r="K233" s="322">
        <f ca="1">IF(I233&gt;0,J233*100/I233,0)</f>
        <v>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0</v>
      </c>
      <c r="K235" s="322">
        <f t="shared" ref="K235:K237" ca="1" si="131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0</v>
      </c>
      <c r="K236" s="322">
        <f t="shared" ca="1" si="131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0</v>
      </c>
      <c r="K237" s="346">
        <f t="shared" ca="1" si="131"/>
        <v>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163100</v>
      </c>
      <c r="O238" s="356">
        <f ca="1">IF(L238&gt;0,N238*100/L238,0)</f>
        <v>29.334532374100718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"),78080)</f>
        <v>78080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"),85020)</f>
        <v>85020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"),0)</f>
        <v>0</v>
      </c>
      <c r="K244" s="45">
        <f ca="1">IF(I244&gt;0,J244*100/I244,0)</f>
        <v>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"),0)</f>
        <v>0</v>
      </c>
      <c r="K246" s="45">
        <f ca="1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"),0)</f>
        <v>0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706900</v>
      </c>
      <c r="N261" s="155">
        <f t="shared" ca="1" si="137"/>
        <v>572381.71</v>
      </c>
      <c r="O261" s="155">
        <f t="shared" ref="O261:O269" ca="1" si="138">IF(L261&gt;0,N261*100/L261,0)</f>
        <v>67.745497692034562</v>
      </c>
      <c r="P261" s="155">
        <f t="shared" ref="P261:P269" ca="1" si="139">IF(M261&gt;0,N261*100/M261,0)</f>
        <v>80.970676191823458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706900</v>
      </c>
      <c r="N263" s="45">
        <f t="shared" ca="1" si="141"/>
        <v>572381.71</v>
      </c>
      <c r="O263" s="45">
        <f t="shared" ca="1" si="138"/>
        <v>67.745497692034562</v>
      </c>
      <c r="P263" s="45">
        <f t="shared" ca="1" si="139"/>
        <v>80.970676191823458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706900</v>
      </c>
      <c r="N264" s="38">
        <f t="shared" ca="1" si="142"/>
        <v>572381.71</v>
      </c>
      <c r="O264" s="38">
        <f t="shared" ca="1" si="138"/>
        <v>67.745497692034562</v>
      </c>
      <c r="P264" s="38">
        <f t="shared" ca="1" si="139"/>
        <v>80.970676191823458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"),706900)</f>
        <v>706900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"),572381.71)</f>
        <v>572381.71</v>
      </c>
      <c r="O266" s="45">
        <f t="shared" ca="1" si="138"/>
        <v>67.745497692034562</v>
      </c>
      <c r="P266" s="45">
        <f t="shared" ca="1" si="139"/>
        <v>80.970676191823458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60</v>
      </c>
      <c r="K275" s="407">
        <f t="shared" ref="K275:K276" ca="1" si="145">IF(I275&gt;0,J275*100/I275,0)</f>
        <v>13.793103448275861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3000</v>
      </c>
      <c r="K276" s="407">
        <f t="shared" ca="1" si="145"/>
        <v>68.965517241379317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2059300</v>
      </c>
      <c r="N277" s="155">
        <f t="shared" ca="1" si="147"/>
        <v>1164035.0699999901</v>
      </c>
      <c r="O277" s="155">
        <f t="shared" ref="O277:O285" ca="1" si="148">IF(L277&gt;0,N277*100/L277,0)</f>
        <v>42.427133229576725</v>
      </c>
      <c r="P277" s="155">
        <f t="shared" ref="P277:P285" ca="1" si="149">IF(M277&gt;0,N277*100/M277,0)</f>
        <v>56.525764580196672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2059300</v>
      </c>
      <c r="N279" s="45">
        <f t="shared" ca="1" si="151"/>
        <v>1164035.0699999901</v>
      </c>
      <c r="O279" s="45">
        <f t="shared" ca="1" si="148"/>
        <v>42.427133229576725</v>
      </c>
      <c r="P279" s="45">
        <f t="shared" ca="1" si="149"/>
        <v>56.525764580196672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2059300</v>
      </c>
      <c r="N280" s="38">
        <f t="shared" ca="1" si="152"/>
        <v>1164035.0699999901</v>
      </c>
      <c r="O280" s="38">
        <f t="shared" ca="1" si="148"/>
        <v>42.427133229576725</v>
      </c>
      <c r="P280" s="38">
        <f t="shared" ca="1" si="149"/>
        <v>56.525764580196672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"),2059300)</f>
        <v>2059300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"),1164035.06999999)</f>
        <v>1164035.0699999901</v>
      </c>
      <c r="O282" s="45">
        <f t="shared" ca="1" si="148"/>
        <v>42.427133229576725</v>
      </c>
      <c r="P282" s="45">
        <f t="shared" ca="1" si="149"/>
        <v>56.525764580196672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"),3000)</f>
        <v>3000</v>
      </c>
      <c r="K287" s="163">
        <f t="shared" ref="K287:K288" ca="1" si="154">IF(I287&gt;0,J287*100/I287,0)</f>
        <v>68.965517241379317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"),60)</f>
        <v>60</v>
      </c>
      <c r="K288" s="411">
        <f t="shared" ca="1" si="154"/>
        <v>13.793103448275861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"),400)</f>
        <v>400</v>
      </c>
      <c r="K290" s="163">
        <f t="shared" ref="K290:K291" ca="1" si="155">IF(I290&gt;0,J290*100/I290,0)</f>
        <v>91.954022988505741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"),370)</f>
        <v>370</v>
      </c>
      <c r="K291" s="163">
        <f t="shared" ca="1" si="155"/>
        <v>85.05747126436782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"),110)</f>
        <v>110</v>
      </c>
      <c r="K293" s="163">
        <f t="shared" ref="K293:K294" ca="1" si="156">IF(I293&gt;0,J293*100/I293,0)</f>
        <v>25.287356321839081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"),60)</f>
        <v>60</v>
      </c>
      <c r="K294" s="385">
        <f t="shared" ca="1" si="156"/>
        <v>13.793103448275861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215</v>
      </c>
      <c r="K297" s="445">
        <f ca="1">IF(I297&gt;0,J297*100/I297,0)</f>
        <v>87.755102040816325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1202900</v>
      </c>
      <c r="N298" s="155">
        <f t="shared" ca="1" si="158"/>
        <v>774772.19</v>
      </c>
      <c r="O298" s="155">
        <f t="shared" ref="O298:O306" ca="1" si="159">IF(L298&gt;0,N298*100/L298,0)</f>
        <v>49.054842978346208</v>
      </c>
      <c r="P298" s="155">
        <f t="shared" ref="P298:P306" ca="1" si="160">IF(M298&gt;0,N298*100/M298,0)</f>
        <v>64.408694820849618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1202900</v>
      </c>
      <c r="N300" s="45">
        <f t="shared" ca="1" si="162"/>
        <v>774772.19</v>
      </c>
      <c r="O300" s="45">
        <f t="shared" ca="1" si="159"/>
        <v>49.054842978346208</v>
      </c>
      <c r="P300" s="45">
        <f t="shared" ca="1" si="160"/>
        <v>64.408694820849618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1202900</v>
      </c>
      <c r="N301" s="38">
        <f t="shared" ca="1" si="163"/>
        <v>774772.19</v>
      </c>
      <c r="O301" s="38">
        <f t="shared" ca="1" si="159"/>
        <v>49.054842978346208</v>
      </c>
      <c r="P301" s="38">
        <f t="shared" ca="1" si="160"/>
        <v>64.408694820849618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"),1202900)</f>
        <v>1202900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"),774772.19)</f>
        <v>774772.19</v>
      </c>
      <c r="O303" s="45">
        <f t="shared" ca="1" si="159"/>
        <v>49.054842978346208</v>
      </c>
      <c r="P303" s="45">
        <f t="shared" ca="1" si="160"/>
        <v>64.408694820849618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"),9)</f>
        <v>9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"),215)</f>
        <v>215</v>
      </c>
      <c r="K309" s="38">
        <f t="shared" ref="K309:K312" ca="1" si="165">IF(I309&gt;0,J309*100/I309,0)</f>
        <v>87.755102040816325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"),110)</f>
        <v>110</v>
      </c>
      <c r="K310" s="38">
        <f t="shared" ca="1" si="165"/>
        <v>44.897959183673471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"),20)</f>
        <v>20</v>
      </c>
      <c r="K311" s="38">
        <f t="shared" ca="1" si="165"/>
        <v>8.1632653061224492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"),17)</f>
        <v>17</v>
      </c>
      <c r="K312" s="38">
        <f t="shared" ca="1" si="165"/>
        <v>34.693877551020407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645000</v>
      </c>
      <c r="N315" s="155">
        <f t="shared" ca="1" si="167"/>
        <v>339480.07</v>
      </c>
      <c r="O315" s="155">
        <f t="shared" ref="O315:O323" ca="1" si="168">IF(L315&gt;0,N315*100/L315,0)</f>
        <v>38.665156036446469</v>
      </c>
      <c r="P315" s="155">
        <f t="shared" ref="P315:P323" ca="1" si="169">IF(M315&gt;0,N315*100/M315,0)</f>
        <v>52.632568992248061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645000</v>
      </c>
      <c r="N317" s="45">
        <f t="shared" ca="1" si="171"/>
        <v>339480.07</v>
      </c>
      <c r="O317" s="45">
        <f t="shared" ca="1" si="168"/>
        <v>38.665156036446469</v>
      </c>
      <c r="P317" s="45">
        <f t="shared" ca="1" si="169"/>
        <v>52.632568992248061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645000</v>
      </c>
      <c r="N318" s="38">
        <f t="shared" ca="1" si="172"/>
        <v>339480.07</v>
      </c>
      <c r="O318" s="38">
        <f t="shared" ca="1" si="168"/>
        <v>38.665156036446469</v>
      </c>
      <c r="P318" s="38">
        <f t="shared" ca="1" si="169"/>
        <v>52.632568992248061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"),645000)</f>
        <v>645000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"),339480.07)</f>
        <v>339480.07</v>
      </c>
      <c r="O320" s="45">
        <f t="shared" ca="1" si="168"/>
        <v>38.665156036446469</v>
      </c>
      <c r="P320" s="45">
        <f t="shared" ca="1" si="169"/>
        <v>52.632568992248061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65862</v>
      </c>
      <c r="K327" s="445">
        <f ca="1">IF(I327&gt;0,J327*100/I327,0)</f>
        <v>76.744348636681423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3874100</v>
      </c>
      <c r="N328" s="155">
        <f t="shared" ca="1" si="174"/>
        <v>2302427.67</v>
      </c>
      <c r="O328" s="155">
        <f t="shared" ref="O328:O336" ca="1" si="175">IF(L328&gt;0,N328*100/L328,0)</f>
        <v>49.10483855144173</v>
      </c>
      <c r="P328" s="155">
        <f t="shared" ref="P328:P336" ca="1" si="176">IF(M328&gt;0,N328*100/M328,0)</f>
        <v>59.43129165483596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3874100</v>
      </c>
      <c r="N330" s="45">
        <f t="shared" ca="1" si="178"/>
        <v>2302427.67</v>
      </c>
      <c r="O330" s="45">
        <f t="shared" ca="1" si="175"/>
        <v>49.10483855144173</v>
      </c>
      <c r="P330" s="45">
        <f t="shared" ca="1" si="176"/>
        <v>59.43129165483596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3024100</v>
      </c>
      <c r="N331" s="38">
        <f t="shared" ca="1" si="179"/>
        <v>1562427.67</v>
      </c>
      <c r="O331" s="38">
        <f t="shared" ca="1" si="175"/>
        <v>40.70093961654684</v>
      </c>
      <c r="P331" s="38">
        <f t="shared" ca="1" si="176"/>
        <v>51.665873152342847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"),3024100)</f>
        <v>3024100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"),1562427.67)</f>
        <v>1562427.67</v>
      </c>
      <c r="O333" s="45">
        <f t="shared" ca="1" si="175"/>
        <v>40.70093961654684</v>
      </c>
      <c r="P333" s="45">
        <f t="shared" ca="1" si="176"/>
        <v>51.665873152342847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850000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87.058823529411768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"),850000)</f>
        <v>850000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87.058823529411768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"),59767)</f>
        <v>59767</v>
      </c>
      <c r="K338" s="38">
        <f ca="1">IF(I338&gt;0,J338*100/I338,0)</f>
        <v>69.642274528082027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"),75)</f>
        <v>75</v>
      </c>
      <c r="K340" s="38">
        <f ca="1">IF(I340&gt;0,J340*100/I340,0)</f>
        <v>47.468354430379748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"),5621)</f>
        <v>5621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"),9)</f>
        <v>9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"),465)</f>
        <v>465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23669352</v>
      </c>
      <c r="N345" s="155">
        <f t="shared" ca="1" si="181"/>
        <v>13748130.42</v>
      </c>
      <c r="O345" s="155">
        <f t="shared" ref="O345:O353" ca="1" si="182">IF(L345&gt;0,N345*100/L345,0)</f>
        <v>46.976458757602678</v>
      </c>
      <c r="P345" s="155">
        <f t="shared" ref="P345:P353" ca="1" si="183">IF(M345&gt;0,N345*100/M345,0)</f>
        <v>58.084101415197175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23669352</v>
      </c>
      <c r="N347" s="45">
        <f t="shared" ca="1" si="185"/>
        <v>13748130.42</v>
      </c>
      <c r="O347" s="45">
        <f t="shared" ca="1" si="182"/>
        <v>46.976458757602678</v>
      </c>
      <c r="P347" s="45">
        <f t="shared" ca="1" si="183"/>
        <v>58.084101415197175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21325632</v>
      </c>
      <c r="N348" s="38">
        <f t="shared" ca="1" si="186"/>
        <v>11404410.42</v>
      </c>
      <c r="O348" s="38">
        <f t="shared" ca="1" si="182"/>
        <v>42.372580012335312</v>
      </c>
      <c r="P348" s="38">
        <f t="shared" ca="1" si="183"/>
        <v>53.477479213746165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"),21325632)</f>
        <v>21325632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"),11404410.42)</f>
        <v>11404410.42</v>
      </c>
      <c r="O350" s="45">
        <f t="shared" ca="1" si="182"/>
        <v>42.372580012335312</v>
      </c>
      <c r="P350" s="45">
        <f t="shared" ca="1" si="183"/>
        <v>53.477479213746165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"),14673)</f>
        <v>14673</v>
      </c>
      <c r="J355" s="464">
        <f ca="1">J362</f>
        <v>2182</v>
      </c>
      <c r="K355" s="465">
        <f ca="1">IF(I355&gt;0,J355*100/I355,0)</f>
        <v>14.870851223335379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"),6272)</f>
        <v>6272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"),148020)</f>
        <v>148020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"),52382.44)</f>
        <v>52382.44</v>
      </c>
      <c r="K359" s="38">
        <f t="shared" ca="1" si="188"/>
        <v>35.388758275908664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"),14673)</f>
        <v>14673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"),4991)</f>
        <v>4991</v>
      </c>
      <c r="K360" s="38">
        <f t="shared" ca="1" si="188"/>
        <v>34.01485722074559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"),43679.95)</f>
        <v>43679.95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"),14673)</f>
        <v>14673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"),2182)</f>
        <v>2182</v>
      </c>
      <c r="K362" s="38">
        <f t="shared" ca="1" si="188"/>
        <v>14.870851223335379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"),19161.42)</f>
        <v>19161.419999999998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25308</v>
      </c>
      <c r="J364" s="478">
        <f t="shared" ca="1" si="189"/>
        <v>7827</v>
      </c>
      <c r="K364" s="479">
        <f t="shared" ca="1" si="188"/>
        <v>30.926979611190138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"),4742)</f>
        <v>4742</v>
      </c>
      <c r="J365" s="490">
        <f ca="1">J372</f>
        <v>724</v>
      </c>
      <c r="K365" s="491">
        <f t="shared" ca="1" si="188"/>
        <v>15.267819485449177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"),2069)</f>
        <v>2069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"),49520)</f>
        <v>49520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"),16155.8599999999)</f>
        <v>16155.859999999901</v>
      </c>
      <c r="K369" s="38">
        <f t="shared" ca="1" si="190"/>
        <v>32.624919224555534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"),4742)</f>
        <v>4742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"),1300)</f>
        <v>1300</v>
      </c>
      <c r="K370" s="38">
        <f t="shared" ca="1" si="190"/>
        <v>27.414592998734712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"),11389.6)</f>
        <v>11389.6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"),4742)</f>
        <v>4742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"),724)</f>
        <v>724</v>
      </c>
      <c r="K372" s="38">
        <f t="shared" ca="1" si="190"/>
        <v>15.267819485449177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"),6686.09999999999)</f>
        <v>6686.0999999999904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"),20566)</f>
        <v>20566</v>
      </c>
      <c r="J374" s="490">
        <f ca="1">J381</f>
        <v>7103</v>
      </c>
      <c r="K374" s="491">
        <f t="shared" ca="1" si="190"/>
        <v>34.537586307497811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"),4203)</f>
        <v>4203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"),98500)</f>
        <v>98500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"),36226.58)</f>
        <v>36226.58</v>
      </c>
      <c r="K378" s="497">
        <f t="shared" ca="1" si="191"/>
        <v>36.778253807106601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"),20566)</f>
        <v>20566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"),10241)</f>
        <v>10241</v>
      </c>
      <c r="K379" s="497">
        <f t="shared" ca="1" si="191"/>
        <v>49.795779441797144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"),112885.81)</f>
        <v>112885.81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"),20566)</f>
        <v>20566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"),7103)</f>
        <v>7103</v>
      </c>
      <c r="K381" s="497">
        <f t="shared" ca="1" si="191"/>
        <v>34.537586307497811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"),81494.14)</f>
        <v>81494.14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54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0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"),12)</f>
        <v>12</v>
      </c>
      <c r="K385" s="501">
        <f ca="1">IF(I385&gt;0,J385*100/I385,0)</f>
        <v>0.74719800747198006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ca="1" si="192">I400</f>
        <v>0</v>
      </c>
      <c r="J388" s="521">
        <f t="shared" ca="1" si="192"/>
        <v>0</v>
      </c>
      <c r="K388" s="522">
        <f ca="1"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ca="1" si="201">I412</f>
        <v>0</v>
      </c>
      <c r="J401" s="521">
        <f t="shared" ca="1" si="201"/>
        <v>0</v>
      </c>
      <c r="K401" s="522">
        <f t="shared" ca="1" si="200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29" t="s">
        <v>38</v>
      </c>
      <c r="E411" s="530"/>
      <c r="F411" s="530"/>
      <c r="G411" s="53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177</v>
      </c>
      <c r="E412" s="178"/>
      <c r="F412" s="178"/>
      <c r="G412" s="179"/>
      <c r="H412" s="532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39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0">
        <f t="shared" ca="1" si="20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210">L419+L444+L467+L502+L523+L544+L629+L655+L685+L737+L754+L770+L786+L805</f>
        <v>53712081</v>
      </c>
      <c r="M414" s="548">
        <f t="shared" si="210"/>
        <v>0</v>
      </c>
      <c r="N414" s="548">
        <f t="shared" ca="1" si="210"/>
        <v>16836691.52999999</v>
      </c>
      <c r="O414" s="548">
        <f ca="1">IF(L414&gt;0,N414*100/L414,0)</f>
        <v>31.346191055230182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59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7" ca="1" si="211">I433</f>
        <v>535</v>
      </c>
      <c r="J417" s="564">
        <f t="shared" ca="1" si="211"/>
        <v>290</v>
      </c>
      <c r="K417" s="565">
        <f t="shared" ref="K417:K418" ca="1" si="212">IF(I417&gt;0,J417*100/I417,0)</f>
        <v>54.205607476635514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ref="I418:J418" ca="1" si="213">I434</f>
        <v>22</v>
      </c>
      <c r="J418" s="564">
        <f t="shared" ca="1" si="213"/>
        <v>14</v>
      </c>
      <c r="K418" s="565">
        <f t="shared" ca="1" si="212"/>
        <v>63.636363636363633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1540" t="s">
        <v>17</v>
      </c>
      <c r="E419" s="1535"/>
      <c r="F419" s="1535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si="214"/>
        <v>0</v>
      </c>
      <c r="N419" s="155">
        <f t="shared" ca="1" si="214"/>
        <v>1129352.3</v>
      </c>
      <c r="O419" s="155">
        <f t="shared" ref="O419:O424" ca="1" si="215">IF(L419&gt;0,N419*100/L419,0)</f>
        <v>55.225591448327123</v>
      </c>
      <c r="P419" s="155">
        <f t="shared" ref="P419:P424" si="21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si="218"/>
        <v>0</v>
      </c>
      <c r="N421" s="45">
        <f t="shared" ca="1" si="218"/>
        <v>1129352.3</v>
      </c>
      <c r="O421" s="45">
        <f t="shared" ca="1" si="215"/>
        <v>55.225591448327123</v>
      </c>
      <c r="P421" s="45">
        <f t="shared" si="21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si="219"/>
        <v>0</v>
      </c>
      <c r="N422" s="38">
        <f t="shared" ca="1" si="219"/>
        <v>1129352.3</v>
      </c>
      <c r="O422" s="38">
        <f t="shared" ca="1" si="215"/>
        <v>55.225591448327123</v>
      </c>
      <c r="P422" s="38">
        <f t="shared" si="21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v>0</v>
      </c>
      <c r="N424" s="45">
        <f ca="1">N425+N426+N427+N428</f>
        <v>1129352.3</v>
      </c>
      <c r="O424" s="45">
        <f t="shared" ca="1" si="215"/>
        <v>55.225591448327123</v>
      </c>
      <c r="P424" s="45">
        <f t="shared" si="21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570"/>
      <c r="D425" s="570"/>
      <c r="E425" s="570"/>
      <c r="F425" s="571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"),813523)</f>
        <v>813523</v>
      </c>
      <c r="O425" s="38"/>
      <c r="P425" s="38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570"/>
      <c r="D426" s="570"/>
      <c r="E426" s="570"/>
      <c r="F426" s="571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570"/>
      <c r="D427" s="570"/>
      <c r="E427" s="570"/>
      <c r="F427" s="571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4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"),306157.3)</f>
        <v>306157.3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3" t="s">
        <v>38</v>
      </c>
      <c r="E432" s="574"/>
      <c r="F432" s="574"/>
      <c r="G432" s="575"/>
      <c r="H432" s="576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"),290)</f>
        <v>290</v>
      </c>
      <c r="K433" s="195">
        <f t="shared" ref="K433:K435" ca="1" si="223">IF(I433&gt;0,J433*100/I433,0)</f>
        <v>54.205607476635514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14</v>
      </c>
      <c r="K434" s="195">
        <f t="shared" ca="1" si="223"/>
        <v>63.636363636363633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7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78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"),495)</f>
        <v>495</v>
      </c>
      <c r="K435" s="497">
        <f t="shared" ca="1" si="223"/>
        <v>92.523364485981304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7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78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"),45)</f>
        <v>45</v>
      </c>
      <c r="K437" s="497">
        <f t="shared" ref="K437:K443" ca="1" si="225">IF(I437&gt;0,J437*100/I437,0)</f>
        <v>56.25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"),1)</f>
        <v>1</v>
      </c>
      <c r="K438" s="38">
        <f t="shared" ca="1" si="225"/>
        <v>50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7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78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"),280)</f>
        <v>280</v>
      </c>
      <c r="K439" s="497">
        <f t="shared" ca="1" si="225"/>
        <v>61.53846153846154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"),13)</f>
        <v>13</v>
      </c>
      <c r="K440" s="38">
        <f t="shared" ca="1" si="225"/>
        <v>65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226">I460</f>
        <v>1355</v>
      </c>
      <c r="J442" s="584">
        <f t="shared" ca="1" si="226"/>
        <v>1164</v>
      </c>
      <c r="K442" s="585">
        <f t="shared" ca="1" si="225"/>
        <v>85.904059040590411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227">I462</f>
        <v>4780</v>
      </c>
      <c r="J443" s="564">
        <f t="shared" ca="1" si="227"/>
        <v>4164</v>
      </c>
      <c r="K443" s="565">
        <f t="shared" ca="1" si="225"/>
        <v>87.112970711297066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570"/>
      <c r="C444" s="570" t="s">
        <v>16</v>
      </c>
      <c r="D444" s="1532" t="s">
        <v>17</v>
      </c>
      <c r="E444" s="1533"/>
      <c r="F444" s="1533"/>
      <c r="G444" s="189"/>
      <c r="H444" s="592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si="228"/>
        <v>0</v>
      </c>
      <c r="N444" s="195">
        <f t="shared" ca="1" si="228"/>
        <v>3678405.89</v>
      </c>
      <c r="O444" s="195">
        <f t="shared" ref="O444:O449" ca="1" si="229">IF(L444&gt;0,N444*100/L444,0)</f>
        <v>37.356252084427595</v>
      </c>
      <c r="P444" s="195">
        <f t="shared" ref="P444:P449" si="230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594"/>
      <c r="C445" s="594"/>
      <c r="D445" s="595"/>
      <c r="E445" s="596" t="s">
        <v>184</v>
      </c>
      <c r="F445" s="594"/>
      <c r="G445" s="597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599"/>
      <c r="C446" s="594"/>
      <c r="D446" s="595"/>
      <c r="E446" s="596" t="s">
        <v>185</v>
      </c>
      <c r="F446" s="594"/>
      <c r="G446" s="597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si="232"/>
        <v>0</v>
      </c>
      <c r="N446" s="45">
        <f t="shared" ca="1" si="232"/>
        <v>3678405.89</v>
      </c>
      <c r="O446" s="45">
        <f t="shared" ca="1" si="229"/>
        <v>37.356252084427595</v>
      </c>
      <c r="P446" s="45">
        <f t="shared" si="230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570"/>
      <c r="D447" s="600" t="s">
        <v>20</v>
      </c>
      <c r="E447" s="570"/>
      <c r="F447" s="570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si="233"/>
        <v>0</v>
      </c>
      <c r="N447" s="38">
        <f t="shared" ca="1" si="233"/>
        <v>3678405.89</v>
      </c>
      <c r="O447" s="38">
        <f t="shared" ca="1" si="229"/>
        <v>37.356252084427595</v>
      </c>
      <c r="P447" s="38">
        <f t="shared" si="230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599"/>
      <c r="C448" s="594"/>
      <c r="D448" s="595"/>
      <c r="E448" s="596" t="s">
        <v>184</v>
      </c>
      <c r="F448" s="594"/>
      <c r="G448" s="597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599"/>
      <c r="C449" s="594"/>
      <c r="D449" s="595"/>
      <c r="E449" s="596" t="s">
        <v>185</v>
      </c>
      <c r="F449" s="594"/>
      <c r="G449" s="597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v>0</v>
      </c>
      <c r="N449" s="45">
        <f ca="1">N450+N451+N452+N453</f>
        <v>3678405.89</v>
      </c>
      <c r="O449" s="45">
        <f t="shared" ca="1" si="229"/>
        <v>37.356252084427595</v>
      </c>
      <c r="P449" s="45">
        <f t="shared" si="230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570"/>
      <c r="D450" s="570"/>
      <c r="E450" s="570"/>
      <c r="F450" s="571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"),1280689)</f>
        <v>1280689</v>
      </c>
      <c r="O450" s="38"/>
      <c r="P450" s="38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570"/>
      <c r="D451" s="570"/>
      <c r="E451" s="570"/>
      <c r="F451" s="571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"),1083000)</f>
        <v>1083000</v>
      </c>
      <c r="O451" s="38"/>
      <c r="P451" s="38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571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"),888080.89)</f>
        <v>888080.89</v>
      </c>
      <c r="O452" s="38"/>
      <c r="P452" s="38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571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"),426636)</f>
        <v>426636</v>
      </c>
      <c r="O453" s="38"/>
      <c r="P453" s="38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570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599"/>
      <c r="C455" s="599"/>
      <c r="D455" s="599"/>
      <c r="E455" s="601" t="s">
        <v>18</v>
      </c>
      <c r="F455" s="594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599"/>
      <c r="C456" s="599"/>
      <c r="D456" s="599"/>
      <c r="E456" s="601" t="s">
        <v>19</v>
      </c>
      <c r="F456" s="594"/>
      <c r="G456" s="597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03"/>
      <c r="C457" s="569" t="s">
        <v>16</v>
      </c>
      <c r="D457" s="604" t="s">
        <v>38</v>
      </c>
      <c r="E457" s="605"/>
      <c r="F457" s="606"/>
      <c r="G457" s="607"/>
      <c r="H457" s="175"/>
      <c r="I457" s="37"/>
      <c r="J457" s="37"/>
      <c r="K457" s="38"/>
      <c r="L457" s="38"/>
      <c r="M457" s="38"/>
      <c r="N457" s="38"/>
      <c r="O457" s="38"/>
      <c r="P457" s="38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09"/>
      <c r="C458" s="609"/>
      <c r="D458" s="610" t="s">
        <v>200</v>
      </c>
      <c r="E458" s="609"/>
      <c r="F458" s="595"/>
      <c r="G458" s="366"/>
      <c r="H458" s="370" t="s">
        <v>35</v>
      </c>
      <c r="I458" s="611">
        <v>0</v>
      </c>
      <c r="J458" s="611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09"/>
      <c r="C459" s="609"/>
      <c r="D459" s="610" t="s">
        <v>201</v>
      </c>
      <c r="E459" s="609"/>
      <c r="F459" s="595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03"/>
      <c r="C460" s="603"/>
      <c r="D460" s="612" t="s">
        <v>202</v>
      </c>
      <c r="E460" s="603"/>
      <c r="F460" s="613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"),1164)</f>
        <v>1164</v>
      </c>
      <c r="K460" s="38">
        <f ca="1">IF(I460&gt;0,J460*100/I460,0)</f>
        <v>85.904059040590411</v>
      </c>
      <c r="L460" s="38"/>
      <c r="M460" s="38"/>
      <c r="N460" s="38"/>
      <c r="O460" s="38"/>
      <c r="P460" s="38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03"/>
      <c r="C461" s="603"/>
      <c r="D461" s="612" t="s">
        <v>203</v>
      </c>
      <c r="E461" s="613"/>
      <c r="F461" s="613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03"/>
      <c r="C462" s="603"/>
      <c r="D462" s="612" t="s">
        <v>204</v>
      </c>
      <c r="E462" s="613"/>
      <c r="F462" s="613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"),4164)</f>
        <v>4164</v>
      </c>
      <c r="K462" s="38">
        <f ca="1">IF(I462&gt;0,J462*100/I462,0)</f>
        <v>87.112970711297066</v>
      </c>
      <c r="L462" s="38"/>
      <c r="M462" s="38"/>
      <c r="N462" s="38"/>
      <c r="O462" s="38"/>
      <c r="P462" s="38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03"/>
      <c r="C463" s="603"/>
      <c r="D463" s="612" t="s">
        <v>59</v>
      </c>
      <c r="E463" s="613"/>
      <c r="F463" s="570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"),518)</f>
        <v>518</v>
      </c>
      <c r="K463" s="38"/>
      <c r="L463" s="38"/>
      <c r="M463" s="38"/>
      <c r="N463" s="38"/>
      <c r="O463" s="38"/>
      <c r="P463" s="38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03"/>
      <c r="C464" s="603"/>
      <c r="D464" s="603"/>
      <c r="E464" s="613"/>
      <c r="F464" s="613"/>
      <c r="G464" s="614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"),196)</f>
        <v>196</v>
      </c>
      <c r="K464" s="38"/>
      <c r="L464" s="38"/>
      <c r="M464" s="38"/>
      <c r="N464" s="38"/>
      <c r="O464" s="38"/>
      <c r="P464" s="38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4">
        <f ca="1">J485+J489+J492</f>
        <v>1459</v>
      </c>
      <c r="K465" s="585">
        <f t="shared" ref="K465:K466" ca="1" si="237">IF(I465&gt;0,J465*100/I465,0)</f>
        <v>75.989583333333329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4">
        <f ca="1">J495+J498</f>
        <v>1300</v>
      </c>
      <c r="K466" s="565">
        <f t="shared" ca="1" si="237"/>
        <v>6.8421052631578947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570"/>
      <c r="C467" s="570" t="s">
        <v>16</v>
      </c>
      <c r="D467" s="1532" t="s">
        <v>17</v>
      </c>
      <c r="E467" s="1533"/>
      <c r="F467" s="1533"/>
      <c r="G467" s="189"/>
      <c r="H467" s="592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si="238"/>
        <v>0</v>
      </c>
      <c r="N467" s="195">
        <f t="shared" ca="1" si="238"/>
        <v>2988392.26</v>
      </c>
      <c r="O467" s="195">
        <f t="shared" ref="O467:O472" ca="1" si="239">IF(L467&gt;0,N467*100/L467,0)</f>
        <v>17.826530066241205</v>
      </c>
      <c r="P467" s="195">
        <f t="shared" ref="P467:P472" si="240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594"/>
      <c r="C468" s="594"/>
      <c r="D468" s="595"/>
      <c r="E468" s="596" t="s">
        <v>184</v>
      </c>
      <c r="F468" s="594"/>
      <c r="G468" s="597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599"/>
      <c r="C469" s="594"/>
      <c r="D469" s="595"/>
      <c r="E469" s="596" t="s">
        <v>185</v>
      </c>
      <c r="F469" s="594"/>
      <c r="G469" s="597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si="242"/>
        <v>0</v>
      </c>
      <c r="N469" s="45">
        <f t="shared" ca="1" si="242"/>
        <v>2988392.26</v>
      </c>
      <c r="O469" s="45">
        <f t="shared" ca="1" si="239"/>
        <v>17.826530066241205</v>
      </c>
      <c r="P469" s="45">
        <f t="shared" si="240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570"/>
      <c r="D470" s="600" t="s">
        <v>20</v>
      </c>
      <c r="E470" s="570"/>
      <c r="F470" s="570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si="243"/>
        <v>0</v>
      </c>
      <c r="N470" s="38">
        <f t="shared" ca="1" si="243"/>
        <v>2988392.26</v>
      </c>
      <c r="O470" s="38">
        <f t="shared" ca="1" si="239"/>
        <v>17.826530066241205</v>
      </c>
      <c r="P470" s="38">
        <f t="shared" si="240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599"/>
      <c r="C471" s="594"/>
      <c r="D471" s="595"/>
      <c r="E471" s="596" t="s">
        <v>184</v>
      </c>
      <c r="F471" s="594"/>
      <c r="G471" s="597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599"/>
      <c r="C472" s="594"/>
      <c r="D472" s="595"/>
      <c r="E472" s="596" t="s">
        <v>185</v>
      </c>
      <c r="F472" s="594"/>
      <c r="G472" s="597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v>0</v>
      </c>
      <c r="N472" s="45">
        <f ca="1">N473+N474+N475+N476</f>
        <v>2988392.26</v>
      </c>
      <c r="O472" s="45">
        <f t="shared" ca="1" si="239"/>
        <v>17.826530066241205</v>
      </c>
      <c r="P472" s="45">
        <f t="shared" si="240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570"/>
      <c r="D473" s="570"/>
      <c r="E473" s="570"/>
      <c r="F473" s="571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"),1517474.2)</f>
        <v>1517474.2</v>
      </c>
      <c r="O473" s="38"/>
      <c r="P473" s="38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570"/>
      <c r="D474" s="570"/>
      <c r="E474" s="570"/>
      <c r="F474" s="571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"),428805)</f>
        <v>428805</v>
      </c>
      <c r="O474" s="38"/>
      <c r="P474" s="38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571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"),596751.06)</f>
        <v>596751.06000000006</v>
      </c>
      <c r="O475" s="38"/>
      <c r="P475" s="38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571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"),445362)</f>
        <v>445362</v>
      </c>
      <c r="O476" s="38"/>
      <c r="P476" s="38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599"/>
      <c r="C478" s="599"/>
      <c r="D478" s="599"/>
      <c r="E478" s="601" t="s">
        <v>18</v>
      </c>
      <c r="F478" s="599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599"/>
      <c r="C479" s="599"/>
      <c r="D479" s="599"/>
      <c r="E479" s="601" t="s">
        <v>19</v>
      </c>
      <c r="F479" s="599"/>
      <c r="G479" s="597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03"/>
      <c r="C480" s="569" t="s">
        <v>16</v>
      </c>
      <c r="D480" s="615" t="s">
        <v>38</v>
      </c>
      <c r="E480" s="605"/>
      <c r="F480" s="606"/>
      <c r="G480" s="607"/>
      <c r="H480" s="175"/>
      <c r="I480" s="37"/>
      <c r="J480" s="37"/>
      <c r="K480" s="38"/>
      <c r="L480" s="38"/>
      <c r="M480" s="38"/>
      <c r="N480" s="38"/>
      <c r="O480" s="38"/>
      <c r="P480" s="38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03"/>
      <c r="C481" s="603"/>
      <c r="D481" s="616" t="s">
        <v>206</v>
      </c>
      <c r="E481" s="603"/>
      <c r="F481" s="603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03"/>
      <c r="C482" s="603"/>
      <c r="D482" s="603"/>
      <c r="E482" s="612" t="s">
        <v>207</v>
      </c>
      <c r="F482" s="603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03"/>
      <c r="C483" s="603"/>
      <c r="D483" s="603"/>
      <c r="E483" s="603"/>
      <c r="F483" s="612" t="s">
        <v>208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"),12857)</f>
        <v>12857</v>
      </c>
      <c r="K483" s="38">
        <f ca="1">IF(I483&gt;0,J483*100/I483,0)</f>
        <v>75.187134502923982</v>
      </c>
      <c r="L483" s="38"/>
      <c r="M483" s="38"/>
      <c r="N483" s="38"/>
      <c r="O483" s="38"/>
      <c r="P483" s="38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03"/>
      <c r="C484" s="603"/>
      <c r="D484" s="603"/>
      <c r="E484" s="603"/>
      <c r="F484" s="612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"),767)</f>
        <v>767</v>
      </c>
      <c r="K484" s="38"/>
      <c r="L484" s="38"/>
      <c r="M484" s="38"/>
      <c r="N484" s="38"/>
      <c r="O484" s="38"/>
      <c r="P484" s="38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03"/>
      <c r="C485" s="603"/>
      <c r="D485" s="603"/>
      <c r="E485" s="603"/>
      <c r="F485" s="612" t="s">
        <v>210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"),1271)</f>
        <v>1271</v>
      </c>
      <c r="K485" s="38">
        <f ca="1">IF(I485&gt;0,J485*100/I485,0)</f>
        <v>74.327485380116954</v>
      </c>
      <c r="L485" s="38"/>
      <c r="M485" s="38"/>
      <c r="N485" s="38"/>
      <c r="O485" s="38"/>
      <c r="P485" s="38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03"/>
      <c r="C486" s="603"/>
      <c r="D486" s="603"/>
      <c r="E486" s="612" t="s">
        <v>62</v>
      </c>
      <c r="F486" s="603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03"/>
      <c r="C487" s="603"/>
      <c r="D487" s="603"/>
      <c r="E487" s="603"/>
      <c r="F487" s="612" t="s">
        <v>208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"),1347)</f>
        <v>1347</v>
      </c>
      <c r="K487" s="38">
        <f ca="1">IF(I487&gt;0,J487*100/I487,0)</f>
        <v>70.89473684210526</v>
      </c>
      <c r="L487" s="38"/>
      <c r="M487" s="38"/>
      <c r="N487" s="38"/>
      <c r="O487" s="38"/>
      <c r="P487" s="38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03"/>
      <c r="C488" s="603"/>
      <c r="D488" s="603"/>
      <c r="E488" s="603"/>
      <c r="F488" s="612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"),73)</f>
        <v>73</v>
      </c>
      <c r="K488" s="38"/>
      <c r="L488" s="38"/>
      <c r="M488" s="38"/>
      <c r="N488" s="38"/>
      <c r="O488" s="38"/>
      <c r="P488" s="38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03"/>
      <c r="C489" s="603"/>
      <c r="D489" s="603"/>
      <c r="E489" s="603"/>
      <c r="F489" s="612" t="s">
        <v>212</v>
      </c>
      <c r="G489" s="175"/>
      <c r="H489" s="617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"),172)</f>
        <v>172</v>
      </c>
      <c r="K489" s="38">
        <f ca="1">IF(I489&gt;0,J489*100/I489,0)</f>
        <v>90.526315789473685</v>
      </c>
      <c r="L489" s="38"/>
      <c r="M489" s="38"/>
      <c r="N489" s="38"/>
      <c r="O489" s="38"/>
      <c r="P489" s="38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03"/>
      <c r="C490" s="603"/>
      <c r="D490" s="603"/>
      <c r="E490" s="612" t="s">
        <v>63</v>
      </c>
      <c r="F490" s="618"/>
      <c r="G490" s="175"/>
      <c r="H490" s="617"/>
      <c r="I490" s="37"/>
      <c r="J490" s="37"/>
      <c r="K490" s="38"/>
      <c r="L490" s="38"/>
      <c r="M490" s="38"/>
      <c r="N490" s="38"/>
      <c r="O490" s="38"/>
      <c r="P490" s="38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03"/>
      <c r="C491" s="603"/>
      <c r="D491" s="603"/>
      <c r="E491" s="603"/>
      <c r="F491" s="612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"),5)</f>
        <v>5</v>
      </c>
      <c r="K491" s="38"/>
      <c r="L491" s="38"/>
      <c r="M491" s="38"/>
      <c r="N491" s="38"/>
      <c r="O491" s="38"/>
      <c r="P491" s="38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03"/>
      <c r="C492" s="603"/>
      <c r="D492" s="603"/>
      <c r="E492" s="603"/>
      <c r="F492" s="612" t="s">
        <v>214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"),16)</f>
        <v>16</v>
      </c>
      <c r="K492" s="38">
        <f ca="1">IF(I492&gt;0,J492*100/I492,0)</f>
        <v>80</v>
      </c>
      <c r="L492" s="38"/>
      <c r="M492" s="38"/>
      <c r="N492" s="38"/>
      <c r="O492" s="38"/>
      <c r="P492" s="38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03"/>
      <c r="C493" s="603"/>
      <c r="D493" s="619" t="s">
        <v>59</v>
      </c>
      <c r="E493" s="603"/>
      <c r="F493" s="613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03"/>
      <c r="C494" s="603"/>
      <c r="D494" s="603"/>
      <c r="E494" s="612" t="s">
        <v>207</v>
      </c>
      <c r="F494" s="613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03"/>
      <c r="C495" s="603"/>
      <c r="D495" s="603"/>
      <c r="E495" s="603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"),1170)</f>
        <v>1170</v>
      </c>
      <c r="K495" s="38">
        <f ca="1">IF(I495&gt;0,J495*100/I495,0)</f>
        <v>6.8421052631578947</v>
      </c>
      <c r="L495" s="38"/>
      <c r="M495" s="38"/>
      <c r="N495" s="38"/>
      <c r="O495" s="38"/>
      <c r="P495" s="38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03"/>
      <c r="C496" s="603"/>
      <c r="D496" s="603"/>
      <c r="E496" s="603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"),0)</f>
        <v>0</v>
      </c>
      <c r="K496" s="38"/>
      <c r="L496" s="38"/>
      <c r="M496" s="38"/>
      <c r="N496" s="38"/>
      <c r="O496" s="38"/>
      <c r="P496" s="38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03"/>
      <c r="C497" s="603"/>
      <c r="D497" s="603"/>
      <c r="E497" s="612" t="s">
        <v>62</v>
      </c>
      <c r="F497" s="613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03"/>
      <c r="C498" s="603"/>
      <c r="D498" s="603"/>
      <c r="E498" s="613"/>
      <c r="F498" s="620" t="s">
        <v>217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"),130)</f>
        <v>130</v>
      </c>
      <c r="K498" s="38">
        <f ca="1">IF(I498&gt;0,J498*100/I498,0)</f>
        <v>6.8421052631578947</v>
      </c>
      <c r="L498" s="38"/>
      <c r="M498" s="38"/>
      <c r="N498" s="38"/>
      <c r="O498" s="38"/>
      <c r="P498" s="38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03"/>
      <c r="C499" s="603"/>
      <c r="D499" s="603"/>
      <c r="E499" s="613"/>
      <c r="F499" s="620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"),0)</f>
        <v>0</v>
      </c>
      <c r="K499" s="38"/>
      <c r="L499" s="38"/>
      <c r="M499" s="38"/>
      <c r="N499" s="38"/>
      <c r="O499" s="38"/>
      <c r="P499" s="38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47">J516</f>
        <v>0</v>
      </c>
      <c r="K500" s="628">
        <f t="shared" ref="K500:K501" si="248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1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47"/>
        <v>0</v>
      </c>
      <c r="K501" s="637">
        <f t="shared" si="248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594"/>
      <c r="C502" s="594" t="s">
        <v>16</v>
      </c>
      <c r="D502" s="1537" t="s">
        <v>17</v>
      </c>
      <c r="E502" s="1533"/>
      <c r="F502" s="1533"/>
      <c r="G502" s="597"/>
      <c r="H502" s="639" t="s">
        <v>12</v>
      </c>
      <c r="I502" s="44"/>
      <c r="J502" s="44"/>
      <c r="K502" s="45"/>
      <c r="L502" s="640">
        <f t="shared" ref="L502:N502" si="249">L503+L504</f>
        <v>0</v>
      </c>
      <c r="M502" s="640">
        <f t="shared" si="249"/>
        <v>0</v>
      </c>
      <c r="N502" s="640">
        <f t="shared" si="249"/>
        <v>0</v>
      </c>
      <c r="O502" s="640">
        <f t="shared" ref="O502:O507" si="250">IF(L502&gt;0,N502*100/L502,0)</f>
        <v>0</v>
      </c>
      <c r="P502" s="640">
        <f t="shared" ref="P502:P507" si="251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594"/>
      <c r="C503" s="594"/>
      <c r="D503" s="595"/>
      <c r="E503" s="596" t="s">
        <v>184</v>
      </c>
      <c r="F503" s="594"/>
      <c r="G503" s="597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599"/>
      <c r="C504" s="594"/>
      <c r="D504" s="595"/>
      <c r="E504" s="596" t="s">
        <v>185</v>
      </c>
      <c r="F504" s="594"/>
      <c r="G504" s="597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599"/>
      <c r="C505" s="594"/>
      <c r="D505" s="641" t="s">
        <v>20</v>
      </c>
      <c r="E505" s="594"/>
      <c r="F505" s="594"/>
      <c r="G505" s="597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599"/>
      <c r="C506" s="594"/>
      <c r="D506" s="595"/>
      <c r="E506" s="596" t="s">
        <v>184</v>
      </c>
      <c r="F506" s="594"/>
      <c r="G506" s="597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599"/>
      <c r="C507" s="594"/>
      <c r="D507" s="595"/>
      <c r="E507" s="596" t="s">
        <v>185</v>
      </c>
      <c r="F507" s="594"/>
      <c r="G507" s="597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2"/>
      <c r="B508" s="599"/>
      <c r="C508" s="594"/>
      <c r="D508" s="594"/>
      <c r="E508" s="594"/>
      <c r="F508" s="596" t="s">
        <v>186</v>
      </c>
      <c r="G508" s="597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2"/>
      <c r="B509" s="599"/>
      <c r="C509" s="594"/>
      <c r="D509" s="594"/>
      <c r="E509" s="594"/>
      <c r="F509" s="596" t="s">
        <v>187</v>
      </c>
      <c r="G509" s="597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2"/>
      <c r="B510" s="599"/>
      <c r="C510" s="599"/>
      <c r="D510" s="599"/>
      <c r="E510" s="594"/>
      <c r="F510" s="596" t="s">
        <v>188</v>
      </c>
      <c r="G510" s="597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2"/>
      <c r="B511" s="599"/>
      <c r="C511" s="599"/>
      <c r="D511" s="599"/>
      <c r="E511" s="594"/>
      <c r="F511" s="596" t="s">
        <v>189</v>
      </c>
      <c r="G511" s="597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599"/>
      <c r="C512" s="599"/>
      <c r="D512" s="641" t="s">
        <v>21</v>
      </c>
      <c r="E512" s="599"/>
      <c r="F512" s="594"/>
      <c r="G512" s="597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599"/>
      <c r="C513" s="599"/>
      <c r="D513" s="599"/>
      <c r="E513" s="601" t="s">
        <v>18</v>
      </c>
      <c r="F513" s="594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599"/>
      <c r="C514" s="599"/>
      <c r="D514" s="594"/>
      <c r="E514" s="601" t="s">
        <v>19</v>
      </c>
      <c r="F514" s="594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09"/>
      <c r="C515" s="599" t="s">
        <v>16</v>
      </c>
      <c r="D515" s="643" t="s">
        <v>38</v>
      </c>
      <c r="E515" s="644"/>
      <c r="F515" s="644"/>
      <c r="G515" s="645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09"/>
      <c r="C516" s="609"/>
      <c r="D516" s="610" t="s">
        <v>221</v>
      </c>
      <c r="E516" s="595"/>
      <c r="F516" s="595"/>
      <c r="G516" s="366"/>
      <c r="H516" s="646" t="s">
        <v>109</v>
      </c>
      <c r="I516" s="44"/>
      <c r="J516" s="611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09"/>
      <c r="C517" s="609"/>
      <c r="D517" s="610" t="s">
        <v>222</v>
      </c>
      <c r="E517" s="595"/>
      <c r="F517" s="595"/>
      <c r="G517" s="366"/>
      <c r="H517" s="647" t="s">
        <v>35</v>
      </c>
      <c r="I517" s="648"/>
      <c r="J517" s="648">
        <f>J518+J519</f>
        <v>0</v>
      </c>
      <c r="K517" s="649">
        <f t="shared" si="258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09"/>
      <c r="C518" s="609"/>
      <c r="D518" s="609"/>
      <c r="E518" s="610" t="s">
        <v>223</v>
      </c>
      <c r="F518" s="595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09"/>
      <c r="C519" s="609"/>
      <c r="D519" s="609"/>
      <c r="E519" s="610" t="s">
        <v>224</v>
      </c>
      <c r="F519" s="595"/>
      <c r="G519" s="366"/>
      <c r="H519" s="646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0" t="s">
        <v>137</v>
      </c>
      <c r="B520" s="651"/>
      <c r="C520" s="651"/>
      <c r="D520" s="652"/>
      <c r="E520" s="652"/>
      <c r="F520" s="652"/>
      <c r="G520" s="653"/>
      <c r="H520" s="654"/>
      <c r="I520" s="655"/>
      <c r="J520" s="655"/>
      <c r="K520" s="656"/>
      <c r="L520" s="656"/>
      <c r="M520" s="656"/>
      <c r="N520" s="656"/>
      <c r="O520" s="656"/>
      <c r="P520" s="656"/>
    </row>
    <row r="521" spans="1:26" ht="19.5">
      <c r="A521" s="657">
        <v>5</v>
      </c>
      <c r="B521" s="658" t="s">
        <v>225</v>
      </c>
      <c r="C521" s="659"/>
      <c r="D521" s="660"/>
      <c r="E521" s="660"/>
      <c r="F521" s="660"/>
      <c r="G521" s="660"/>
      <c r="H521" s="661"/>
      <c r="I521" s="662"/>
      <c r="J521" s="662"/>
      <c r="K521" s="663"/>
      <c r="L521" s="663"/>
      <c r="M521" s="663"/>
      <c r="N521" s="663"/>
      <c r="O521" s="663"/>
      <c r="P521" s="663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>
      <c r="A522" s="664"/>
      <c r="B522" s="665" t="s">
        <v>226</v>
      </c>
      <c r="C522" s="666"/>
      <c r="D522" s="666"/>
      <c r="E522" s="666"/>
      <c r="F522" s="666"/>
      <c r="G522" s="667"/>
      <c r="H522" s="668" t="s">
        <v>35</v>
      </c>
      <c r="I522" s="669">
        <f t="shared" ref="I522:J522" ca="1" si="259">I537</f>
        <v>80</v>
      </c>
      <c r="J522" s="669">
        <f t="shared" ca="1" si="259"/>
        <v>50</v>
      </c>
      <c r="K522" s="670">
        <f ca="1">IF(I522&gt;0,J522*100/I522,0)</f>
        <v>62.5</v>
      </c>
      <c r="L522" s="671"/>
      <c r="M522" s="671"/>
      <c r="N522" s="671"/>
      <c r="O522" s="671"/>
      <c r="P522" s="671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>
      <c r="A523" s="591"/>
      <c r="B523" s="570"/>
      <c r="C523" s="570" t="s">
        <v>16</v>
      </c>
      <c r="D523" s="1532" t="s">
        <v>17</v>
      </c>
      <c r="E523" s="1533"/>
      <c r="F523" s="1533"/>
      <c r="G523" s="189"/>
      <c r="H523" s="592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si="260"/>
        <v>0</v>
      </c>
      <c r="N523" s="195">
        <f t="shared" ca="1" si="260"/>
        <v>177874</v>
      </c>
      <c r="O523" s="195">
        <f t="shared" ref="O523:O528" ca="1" si="261">IF(L523&gt;0,N523*100/L523,0)</f>
        <v>25.240379157679644</v>
      </c>
      <c r="P523" s="195">
        <f t="shared" ref="P523:P528" si="262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594"/>
      <c r="C524" s="594"/>
      <c r="D524" s="595"/>
      <c r="E524" s="596" t="s">
        <v>184</v>
      </c>
      <c r="F524" s="594"/>
      <c r="G524" s="597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599"/>
      <c r="C525" s="594"/>
      <c r="D525" s="595"/>
      <c r="E525" s="596" t="s">
        <v>185</v>
      </c>
      <c r="F525" s="594"/>
      <c r="G525" s="597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si="264"/>
        <v>0</v>
      </c>
      <c r="N525" s="45">
        <f t="shared" ca="1" si="264"/>
        <v>177874</v>
      </c>
      <c r="O525" s="45">
        <f t="shared" ca="1" si="261"/>
        <v>25.240379157679644</v>
      </c>
      <c r="P525" s="45">
        <f t="shared" si="262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>
      <c r="A526" s="591"/>
      <c r="B526" s="569"/>
      <c r="C526" s="570"/>
      <c r="D526" s="600" t="s">
        <v>20</v>
      </c>
      <c r="E526" s="570"/>
      <c r="F526" s="570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si="265"/>
        <v>0</v>
      </c>
      <c r="N526" s="38">
        <f t="shared" ca="1" si="265"/>
        <v>177874</v>
      </c>
      <c r="O526" s="38">
        <f t="shared" ca="1" si="261"/>
        <v>25.240379157679644</v>
      </c>
      <c r="P526" s="38">
        <f t="shared" si="262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599"/>
      <c r="C527" s="594"/>
      <c r="D527" s="595"/>
      <c r="E527" s="596" t="s">
        <v>184</v>
      </c>
      <c r="F527" s="594"/>
      <c r="G527" s="597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599"/>
      <c r="C528" s="594"/>
      <c r="D528" s="595"/>
      <c r="E528" s="596" t="s">
        <v>185</v>
      </c>
      <c r="F528" s="594"/>
      <c r="G528" s="597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v>0</v>
      </c>
      <c r="N528" s="45">
        <f ca="1">N529+N530+N531+N532</f>
        <v>177874</v>
      </c>
      <c r="O528" s="45">
        <f t="shared" ca="1" si="261"/>
        <v>25.240379157679644</v>
      </c>
      <c r="P528" s="45">
        <f t="shared" si="262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>
      <c r="A529" s="568"/>
      <c r="B529" s="569"/>
      <c r="C529" s="570"/>
      <c r="D529" s="570"/>
      <c r="E529" s="570"/>
      <c r="F529" s="571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"),161580)</f>
        <v>161580</v>
      </c>
      <c r="O529" s="38"/>
      <c r="P529" s="38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>
      <c r="A530" s="568"/>
      <c r="B530" s="569"/>
      <c r="C530" s="570"/>
      <c r="D530" s="570"/>
      <c r="E530" s="570"/>
      <c r="F530" s="571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"),0)</f>
        <v>0</v>
      </c>
      <c r="O530" s="38"/>
      <c r="P530" s="38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>
      <c r="A531" s="568"/>
      <c r="B531" s="569"/>
      <c r="C531" s="570"/>
      <c r="D531" s="570"/>
      <c r="E531" s="570"/>
      <c r="F531" s="571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>
      <c r="A532" s="568"/>
      <c r="B532" s="569"/>
      <c r="C532" s="570"/>
      <c r="D532" s="570"/>
      <c r="E532" s="570"/>
      <c r="F532" s="571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"),16294)</f>
        <v>16294</v>
      </c>
      <c r="O532" s="38"/>
      <c r="P532" s="38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>
      <c r="A533" s="591"/>
      <c r="B533" s="569"/>
      <c r="C533" s="570"/>
      <c r="D533" s="600" t="s">
        <v>21</v>
      </c>
      <c r="E533" s="570"/>
      <c r="F533" s="570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599"/>
      <c r="C534" s="594"/>
      <c r="D534" s="594"/>
      <c r="E534" s="596" t="s">
        <v>18</v>
      </c>
      <c r="F534" s="594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599"/>
      <c r="C535" s="594"/>
      <c r="D535" s="594"/>
      <c r="E535" s="596" t="s">
        <v>19</v>
      </c>
      <c r="F535" s="594"/>
      <c r="G535" s="597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>
      <c r="A536" s="602"/>
      <c r="B536" s="603"/>
      <c r="C536" s="570" t="s">
        <v>16</v>
      </c>
      <c r="D536" s="672" t="s">
        <v>38</v>
      </c>
      <c r="E536" s="606"/>
      <c r="F536" s="606"/>
      <c r="G536" s="607"/>
      <c r="H536" s="175"/>
      <c r="I536" s="162"/>
      <c r="J536" s="162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>
      <c r="A537" s="568"/>
      <c r="B537" s="569"/>
      <c r="C537" s="570"/>
      <c r="D537" s="673" t="s">
        <v>227</v>
      </c>
      <c r="E537" s="570"/>
      <c r="F537" s="570"/>
      <c r="G537" s="189"/>
      <c r="H537" s="36" t="s">
        <v>35</v>
      </c>
      <c r="I537" s="674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"),50)</f>
        <v>50</v>
      </c>
      <c r="K537" s="195">
        <f t="shared" ref="K537:K543" ca="1" si="269">IF(I537&gt;0,J537*100/I537,0)</f>
        <v>62.5</v>
      </c>
      <c r="L537" s="38"/>
      <c r="M537" s="38"/>
      <c r="N537" s="38"/>
      <c r="O537" s="38"/>
      <c r="P537" s="38"/>
      <c r="Q537" s="675"/>
      <c r="R537" s="675"/>
      <c r="S537" s="675"/>
      <c r="T537" s="675"/>
      <c r="U537" s="675"/>
      <c r="V537" s="675"/>
      <c r="W537" s="675"/>
      <c r="X537" s="675"/>
      <c r="Y537" s="675"/>
      <c r="Z537" s="675"/>
    </row>
    <row r="538" spans="1:26" ht="18.75">
      <c r="A538" s="568"/>
      <c r="B538" s="569"/>
      <c r="C538" s="570"/>
      <c r="D538" s="571"/>
      <c r="E538" s="676" t="s">
        <v>228</v>
      </c>
      <c r="F538" s="570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75"/>
      <c r="R538" s="675"/>
      <c r="S538" s="675"/>
      <c r="T538" s="675"/>
      <c r="U538" s="675"/>
      <c r="V538" s="675"/>
      <c r="W538" s="675"/>
      <c r="X538" s="675"/>
      <c r="Y538" s="675"/>
      <c r="Z538" s="675"/>
    </row>
    <row r="539" spans="1:26" ht="18.75">
      <c r="A539" s="568"/>
      <c r="B539" s="569"/>
      <c r="C539" s="570"/>
      <c r="D539" s="571"/>
      <c r="E539" s="676" t="s">
        <v>229</v>
      </c>
      <c r="F539" s="570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75"/>
      <c r="R539" s="675"/>
      <c r="S539" s="675"/>
      <c r="T539" s="675"/>
      <c r="U539" s="675"/>
      <c r="V539" s="675"/>
      <c r="W539" s="675"/>
      <c r="X539" s="675"/>
      <c r="Y539" s="675"/>
      <c r="Z539" s="675"/>
    </row>
    <row r="540" spans="1:26" ht="18.75">
      <c r="A540" s="568"/>
      <c r="B540" s="569"/>
      <c r="C540" s="570"/>
      <c r="D540" s="571"/>
      <c r="E540" s="676" t="s">
        <v>230</v>
      </c>
      <c r="F540" s="570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75"/>
      <c r="R540" s="675"/>
      <c r="S540" s="675"/>
      <c r="T540" s="675"/>
      <c r="U540" s="675"/>
      <c r="V540" s="675"/>
      <c r="W540" s="675"/>
      <c r="X540" s="675"/>
      <c r="Y540" s="675"/>
      <c r="Z540" s="675"/>
    </row>
    <row r="541" spans="1:26" ht="18.75">
      <c r="A541" s="568"/>
      <c r="B541" s="569"/>
      <c r="C541" s="570"/>
      <c r="D541" s="571"/>
      <c r="E541" s="677" t="s">
        <v>231</v>
      </c>
      <c r="F541" s="570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"),50)</f>
        <v>50</v>
      </c>
      <c r="K541" s="38">
        <f t="shared" ca="1" si="269"/>
        <v>62.5</v>
      </c>
      <c r="L541" s="38"/>
      <c r="M541" s="38"/>
      <c r="N541" s="38"/>
      <c r="O541" s="38"/>
      <c r="P541" s="38"/>
      <c r="Q541" s="675"/>
      <c r="R541" s="675"/>
      <c r="S541" s="675"/>
      <c r="T541" s="675"/>
      <c r="U541" s="675"/>
      <c r="V541" s="675"/>
      <c r="W541" s="675"/>
      <c r="X541" s="675"/>
      <c r="Y541" s="675"/>
      <c r="Z541" s="675"/>
    </row>
    <row r="542" spans="1:26" ht="18.75">
      <c r="A542" s="568"/>
      <c r="B542" s="569"/>
      <c r="C542" s="570"/>
      <c r="D542" s="571" t="s">
        <v>59</v>
      </c>
      <c r="E542" s="570"/>
      <c r="F542" s="570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"),0)</f>
        <v>0</v>
      </c>
      <c r="K542" s="38">
        <f t="shared" ca="1" si="269"/>
        <v>0</v>
      </c>
      <c r="L542" s="38"/>
      <c r="M542" s="38"/>
      <c r="N542" s="38"/>
      <c r="O542" s="38"/>
      <c r="P542" s="38"/>
      <c r="Q542" s="675"/>
      <c r="R542" s="675"/>
      <c r="S542" s="675"/>
      <c r="T542" s="675"/>
      <c r="U542" s="675"/>
      <c r="V542" s="675"/>
      <c r="W542" s="675"/>
      <c r="X542" s="675"/>
      <c r="Y542" s="675"/>
      <c r="Z542" s="675"/>
    </row>
    <row r="543" spans="1:26" ht="19.5">
      <c r="A543" s="657">
        <v>6</v>
      </c>
      <c r="B543" s="678" t="s">
        <v>232</v>
      </c>
      <c r="C543" s="660"/>
      <c r="D543" s="660"/>
      <c r="E543" s="660"/>
      <c r="F543" s="660"/>
      <c r="G543" s="661"/>
      <c r="H543" s="679" t="s">
        <v>46</v>
      </c>
      <c r="I543" s="680">
        <f t="shared" ref="I543:J543" ca="1" si="270">I559</f>
        <v>1172953</v>
      </c>
      <c r="J543" s="680">
        <f t="shared" ca="1" si="270"/>
        <v>175225.08749999999</v>
      </c>
      <c r="K543" s="681">
        <f t="shared" ca="1" si="269"/>
        <v>14.938798698669085</v>
      </c>
      <c r="L543" s="663"/>
      <c r="M543" s="663"/>
      <c r="N543" s="663"/>
      <c r="O543" s="663"/>
      <c r="P543" s="663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2"/>
      <c r="B544" s="683"/>
      <c r="C544" s="683" t="s">
        <v>16</v>
      </c>
      <c r="D544" s="1534" t="s">
        <v>17</v>
      </c>
      <c r="E544" s="1535"/>
      <c r="F544" s="1535"/>
      <c r="G544" s="684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si="271"/>
        <v>0</v>
      </c>
      <c r="N544" s="155">
        <f t="shared" ca="1" si="271"/>
        <v>3339075.8299999991</v>
      </c>
      <c r="O544" s="155">
        <f t="shared" ref="O544:O549" ca="1" si="272">IF(L544&gt;0,N544*100/L544,0)</f>
        <v>33.903883404156886</v>
      </c>
      <c r="P544" s="155">
        <f t="shared" ref="P544:P549" si="273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594"/>
      <c r="C545" s="594"/>
      <c r="D545" s="594"/>
      <c r="E545" s="596" t="s">
        <v>184</v>
      </c>
      <c r="F545" s="594"/>
      <c r="G545" s="597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599"/>
      <c r="C546" s="594"/>
      <c r="D546" s="594"/>
      <c r="E546" s="596" t="s">
        <v>185</v>
      </c>
      <c r="F546" s="594"/>
      <c r="G546" s="597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si="276">M549+M556</f>
        <v>0</v>
      </c>
      <c r="N546" s="45">
        <f t="shared" ca="1" si="276"/>
        <v>3339075.8299999991</v>
      </c>
      <c r="O546" s="45">
        <f t="shared" ca="1" si="272"/>
        <v>33.903883404156886</v>
      </c>
      <c r="P546" s="45">
        <f t="shared" si="273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570"/>
      <c r="D547" s="600" t="s">
        <v>20</v>
      </c>
      <c r="E547" s="570"/>
      <c r="F547" s="570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si="277"/>
        <v>0</v>
      </c>
      <c r="N547" s="38">
        <f t="shared" ca="1" si="277"/>
        <v>3339075.8299999991</v>
      </c>
      <c r="O547" s="38">
        <f t="shared" ca="1" si="272"/>
        <v>33.903883404156886</v>
      </c>
      <c r="P547" s="38">
        <f t="shared" si="273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599"/>
      <c r="C548" s="594"/>
      <c r="D548" s="595"/>
      <c r="E548" s="596" t="s">
        <v>184</v>
      </c>
      <c r="F548" s="594"/>
      <c r="G548" s="597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599"/>
      <c r="C549" s="594"/>
      <c r="D549" s="595"/>
      <c r="E549" s="596" t="s">
        <v>185</v>
      </c>
      <c r="F549" s="594"/>
      <c r="G549" s="597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v>0</v>
      </c>
      <c r="N549" s="45">
        <f ca="1">N550+N551+N552+N553+N554</f>
        <v>3339075.8299999991</v>
      </c>
      <c r="O549" s="45">
        <f t="shared" ca="1" si="272"/>
        <v>33.903883404156886</v>
      </c>
      <c r="P549" s="45">
        <f t="shared" si="273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570"/>
      <c r="D550" s="570"/>
      <c r="E550" s="570"/>
      <c r="F550" s="571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570"/>
      <c r="F551" s="571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"),44990)</f>
        <v>44990</v>
      </c>
      <c r="O551" s="38"/>
      <c r="P551" s="38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570"/>
      <c r="D552" s="570"/>
      <c r="E552" s="570"/>
      <c r="F552" s="571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"),978474.519999999)</f>
        <v>978474.51999999897</v>
      </c>
      <c r="O552" s="38"/>
      <c r="P552" s="38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570"/>
      <c r="F553" s="571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"),2156703.71)</f>
        <v>2156703.71</v>
      </c>
      <c r="O553" s="38"/>
      <c r="P553" s="38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570"/>
      <c r="F554" s="571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"),158907.6)</f>
        <v>158907.6</v>
      </c>
      <c r="O554" s="38"/>
      <c r="P554" s="38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570"/>
      <c r="F555" s="570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599"/>
      <c r="C556" s="599"/>
      <c r="D556" s="594"/>
      <c r="E556" s="596" t="s">
        <v>18</v>
      </c>
      <c r="F556" s="594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599"/>
      <c r="C557" s="599"/>
      <c r="D557" s="594"/>
      <c r="E557" s="596" t="s">
        <v>19</v>
      </c>
      <c r="F557" s="594"/>
      <c r="G557" s="597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03"/>
      <c r="C558" s="569" t="s">
        <v>16</v>
      </c>
      <c r="D558" s="672" t="s">
        <v>38</v>
      </c>
      <c r="E558" s="606"/>
      <c r="F558" s="606"/>
      <c r="G558" s="607"/>
      <c r="H558" s="175"/>
      <c r="I558" s="162"/>
      <c r="J558" s="162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5"/>
      <c r="B559" s="686" t="s">
        <v>234</v>
      </c>
      <c r="C559" s="687"/>
      <c r="D559" s="687"/>
      <c r="E559" s="666"/>
      <c r="F559" s="666"/>
      <c r="G559" s="667"/>
      <c r="H559" s="688" t="s">
        <v>46</v>
      </c>
      <c r="I559" s="669">
        <f t="shared" ref="I559:J559" ca="1" si="281">I576</f>
        <v>1172953</v>
      </c>
      <c r="J559" s="669">
        <f t="shared" ca="1" si="281"/>
        <v>175225.08749999999</v>
      </c>
      <c r="K559" s="670">
        <f t="shared" ref="K559:K561" ca="1" si="282">IF(I559&gt;0,J559*100/I559,0)</f>
        <v>14.938798698669085</v>
      </c>
      <c r="L559" s="671"/>
      <c r="M559" s="671"/>
      <c r="N559" s="671"/>
      <c r="O559" s="671"/>
      <c r="P559" s="671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03"/>
      <c r="C560" s="616" t="s">
        <v>235</v>
      </c>
      <c r="D560" s="603"/>
      <c r="E560" s="613"/>
      <c r="F560" s="613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1098809.6775</v>
      </c>
      <c r="K560" s="411">
        <f t="shared" ca="1" si="282"/>
        <v>93.678917867979365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03"/>
      <c r="C561" s="603"/>
      <c r="D561" s="613"/>
      <c r="E561" s="613"/>
      <c r="F561" s="613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118561</v>
      </c>
      <c r="K561" s="411">
        <f t="shared" ca="1" si="282"/>
        <v>93.971482241790639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03"/>
      <c r="C562" s="603"/>
      <c r="D562" s="187" t="s">
        <v>236</v>
      </c>
      <c r="E562" s="613"/>
      <c r="F562" s="613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"),876574.5475)</f>
        <v>876574.54749999999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03"/>
      <c r="C563" s="603"/>
      <c r="D563" s="603"/>
      <c r="E563" s="613"/>
      <c r="F563" s="613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"),98970)</f>
        <v>98970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03"/>
      <c r="C564" s="603"/>
      <c r="D564" s="187" t="s">
        <v>237</v>
      </c>
      <c r="E564" s="613"/>
      <c r="F564" s="613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"),186118.475)</f>
        <v>186118.47500000001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03"/>
      <c r="C565" s="603"/>
      <c r="D565" s="613"/>
      <c r="E565" s="613"/>
      <c r="F565" s="613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"),15874)</f>
        <v>15874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03"/>
      <c r="C566" s="603"/>
      <c r="D566" s="187" t="s">
        <v>238</v>
      </c>
      <c r="E566" s="613"/>
      <c r="F566" s="613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"),36116.655)</f>
        <v>36116.654999999999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03"/>
      <c r="C567" s="603"/>
      <c r="D567" s="613"/>
      <c r="E567" s="613"/>
      <c r="F567" s="613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"),3717)</f>
        <v>3717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03"/>
      <c r="C568" s="616" t="s">
        <v>239</v>
      </c>
      <c r="D568" s="613"/>
      <c r="E568" s="613"/>
      <c r="F568" s="613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640537.37149999989</v>
      </c>
      <c r="K568" s="411">
        <f t="shared" ref="K568:K569" ca="1" si="285">IF(I568&gt;0,J568*100/I568,0)</f>
        <v>54.60895462137016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03"/>
      <c r="C569" s="603"/>
      <c r="D569" s="603"/>
      <c r="E569" s="613"/>
      <c r="F569" s="613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67670</v>
      </c>
      <c r="K569" s="411">
        <f t="shared" ca="1" si="285"/>
        <v>53.635261201423511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03"/>
      <c r="C570" s="603"/>
      <c r="D570" s="187" t="s">
        <v>240</v>
      </c>
      <c r="E570" s="603"/>
      <c r="F570" s="613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"),528122.9135)</f>
        <v>528122.91350000002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03"/>
      <c r="C571" s="603"/>
      <c r="D571" s="603"/>
      <c r="E571" s="613"/>
      <c r="F571" s="613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"),58186)</f>
        <v>58186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03"/>
      <c r="C572" s="603"/>
      <c r="D572" s="187" t="s">
        <v>241</v>
      </c>
      <c r="E572" s="613"/>
      <c r="F572" s="613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"),91543.1149999999)</f>
        <v>91543.114999999903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03"/>
      <c r="C573" s="603"/>
      <c r="D573" s="613"/>
      <c r="E573" s="613"/>
      <c r="F573" s="613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"),7418)</f>
        <v>7418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03"/>
      <c r="C574" s="603"/>
      <c r="D574" s="187" t="s">
        <v>242</v>
      </c>
      <c r="E574" s="613"/>
      <c r="F574" s="613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"),20871.343)</f>
        <v>20871.343000000001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03"/>
      <c r="C575" s="603"/>
      <c r="D575" s="603"/>
      <c r="E575" s="613"/>
      <c r="F575" s="613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"),2066)</f>
        <v>2066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03"/>
      <c r="C576" s="616" t="s">
        <v>243</v>
      </c>
      <c r="D576" s="603"/>
      <c r="E576" s="603"/>
      <c r="F576" s="613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175225.08749999999</v>
      </c>
      <c r="K576" s="411">
        <f t="shared" ref="K576:K577" ca="1" si="287">IF(I576&gt;0,J576*100/I576,0)</f>
        <v>14.938798698669085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03"/>
      <c r="C577" s="603"/>
      <c r="D577" s="603"/>
      <c r="E577" s="613"/>
      <c r="F577" s="613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17576</v>
      </c>
      <c r="K577" s="411">
        <f t="shared" ca="1" si="287"/>
        <v>13.930742587205847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03"/>
      <c r="C578" s="603"/>
      <c r="D578" s="187" t="s">
        <v>244</v>
      </c>
      <c r="E578" s="613"/>
      <c r="F578" s="613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"),142296.4425)</f>
        <v>142296.4425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03"/>
      <c r="C579" s="603"/>
      <c r="D579" s="603"/>
      <c r="E579" s="613"/>
      <c r="F579" s="613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"),14951)</f>
        <v>14951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03"/>
      <c r="C580" s="603"/>
      <c r="D580" s="187" t="s">
        <v>245</v>
      </c>
      <c r="E580" s="613"/>
      <c r="F580" s="613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"),22614.525)</f>
        <v>22614.525000000001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03"/>
      <c r="C581" s="603"/>
      <c r="D581" s="603"/>
      <c r="E581" s="613"/>
      <c r="F581" s="613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"),1662)</f>
        <v>1662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03"/>
      <c r="C582" s="603"/>
      <c r="D582" s="187" t="s">
        <v>246</v>
      </c>
      <c r="E582" s="613"/>
      <c r="F582" s="613"/>
      <c r="G582" s="175"/>
      <c r="H582" s="182" t="s">
        <v>46</v>
      </c>
      <c r="I582" s="162"/>
      <c r="J582" s="194">
        <f t="shared" ref="J582:J583" ca="1" si="288">J584+J586</f>
        <v>10212.120000000001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03"/>
      <c r="C583" s="603"/>
      <c r="D583" s="603"/>
      <c r="E583" s="613"/>
      <c r="F583" s="613"/>
      <c r="G583" s="175"/>
      <c r="H583" s="182" t="s">
        <v>34</v>
      </c>
      <c r="I583" s="162"/>
      <c r="J583" s="194">
        <f t="shared" ca="1" si="288"/>
        <v>934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03"/>
      <c r="C584" s="603"/>
      <c r="D584" s="603"/>
      <c r="E584" s="187" t="s">
        <v>247</v>
      </c>
      <c r="F584" s="613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"),10178.6025)</f>
        <v>10178.602500000001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03"/>
      <c r="C585" s="603"/>
      <c r="D585" s="603"/>
      <c r="E585" s="613"/>
      <c r="F585" s="613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"),931)</f>
        <v>931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03"/>
      <c r="C586" s="603"/>
      <c r="D586" s="603"/>
      <c r="E586" s="187" t="s">
        <v>248</v>
      </c>
      <c r="F586" s="613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"),33.5175)</f>
        <v>33.517499999999998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03"/>
      <c r="C587" s="603"/>
      <c r="D587" s="603"/>
      <c r="E587" s="603"/>
      <c r="F587" s="613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"),3)</f>
        <v>3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03"/>
      <c r="C588" s="603"/>
      <c r="D588" s="187" t="s">
        <v>249</v>
      </c>
      <c r="E588" s="613"/>
      <c r="F588" s="613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"),102)</f>
        <v>102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03"/>
      <c r="C589" s="603"/>
      <c r="D589" s="603"/>
      <c r="E589" s="603"/>
      <c r="F589" s="613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"),29)</f>
        <v>29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03"/>
      <c r="C590" s="603"/>
      <c r="D590" s="187" t="s">
        <v>250</v>
      </c>
      <c r="E590" s="613"/>
      <c r="F590" s="613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89"/>
      <c r="B591" s="690"/>
      <c r="C591" s="690"/>
      <c r="D591" s="690"/>
      <c r="E591" s="572"/>
      <c r="F591" s="572"/>
      <c r="G591" s="691"/>
      <c r="H591" s="692" t="s">
        <v>34</v>
      </c>
      <c r="I591" s="693"/>
      <c r="J591" s="694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695"/>
      <c r="L591" s="695"/>
      <c r="M591" s="695"/>
      <c r="N591" s="695"/>
      <c r="O591" s="695"/>
      <c r="P591" s="695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5"/>
      <c r="B592" s="686" t="s">
        <v>251</v>
      </c>
      <c r="C592" s="687"/>
      <c r="D592" s="687"/>
      <c r="E592" s="666"/>
      <c r="F592" s="666"/>
      <c r="G592" s="667"/>
      <c r="H592" s="688" t="s">
        <v>46</v>
      </c>
      <c r="I592" s="696">
        <f t="shared" ref="I592:J592" ca="1" si="289">I593</f>
        <v>78677.899999999994</v>
      </c>
      <c r="J592" s="669">
        <f t="shared" ca="1" si="289"/>
        <v>6279.4299999999894</v>
      </c>
      <c r="K592" s="670">
        <f t="shared" ref="K592:K594" ca="1" si="290">IF(I592&gt;0,J592*100/I592,0)</f>
        <v>7.9811865847969887</v>
      </c>
      <c r="L592" s="671"/>
      <c r="M592" s="671"/>
      <c r="N592" s="671"/>
      <c r="O592" s="671"/>
      <c r="P592" s="671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03"/>
      <c r="C593" s="616" t="s">
        <v>252</v>
      </c>
      <c r="D593" s="603"/>
      <c r="E593" s="603"/>
      <c r="F593" s="613"/>
      <c r="G593" s="175"/>
      <c r="H593" s="192" t="s">
        <v>46</v>
      </c>
      <c r="I593" s="697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6279.4299999999894</v>
      </c>
      <c r="K593" s="411">
        <f t="shared" ca="1" si="290"/>
        <v>7.9811865847969887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03"/>
      <c r="C594" s="603"/>
      <c r="D594" s="603"/>
      <c r="E594" s="613"/>
      <c r="F594" s="613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891</v>
      </c>
      <c r="K594" s="411">
        <f t="shared" ca="1" si="290"/>
        <v>12.905561993047508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03"/>
      <c r="C595" s="612" t="s">
        <v>253</v>
      </c>
      <c r="D595" s="603"/>
      <c r="E595" s="603"/>
      <c r="F595" s="613"/>
      <c r="G595" s="175"/>
      <c r="H595" s="182" t="s">
        <v>46</v>
      </c>
      <c r="I595" s="162"/>
      <c r="J595" s="162">
        <f t="shared" ref="J595:J596" ca="1" si="292">J597+J599</f>
        <v>5828.8599999999897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03"/>
      <c r="C596" s="603"/>
      <c r="D596" s="603"/>
      <c r="E596" s="613"/>
      <c r="F596" s="613"/>
      <c r="G596" s="175"/>
      <c r="H596" s="182" t="s">
        <v>34</v>
      </c>
      <c r="I596" s="162"/>
      <c r="J596" s="162">
        <f t="shared" ca="1" si="292"/>
        <v>852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03"/>
      <c r="C597" s="603"/>
      <c r="D597" s="263" t="s">
        <v>254</v>
      </c>
      <c r="E597" s="613"/>
      <c r="F597" s="613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"),3462.85999999999)</f>
        <v>3462.8599999999901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03"/>
      <c r="C598" s="603"/>
      <c r="D598" s="603"/>
      <c r="E598" s="613"/>
      <c r="F598" s="613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"),628)</f>
        <v>628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03"/>
      <c r="C599" s="603"/>
      <c r="D599" s="263" t="s">
        <v>255</v>
      </c>
      <c r="E599" s="613"/>
      <c r="F599" s="613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"),2366)</f>
        <v>2366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03"/>
      <c r="C600" s="603"/>
      <c r="D600" s="603"/>
      <c r="E600" s="613"/>
      <c r="F600" s="613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"),224)</f>
        <v>224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03"/>
      <c r="C601" s="603"/>
      <c r="D601" s="263" t="s">
        <v>256</v>
      </c>
      <c r="E601" s="613"/>
      <c r="F601" s="613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"),11)</f>
        <v>11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03"/>
      <c r="C602" s="603"/>
      <c r="D602" s="603"/>
      <c r="E602" s="613"/>
      <c r="F602" s="613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"),1)</f>
        <v>1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03"/>
      <c r="C603" s="698" t="s">
        <v>257</v>
      </c>
      <c r="D603" s="603"/>
      <c r="E603" s="603"/>
      <c r="F603" s="613"/>
      <c r="G603" s="175"/>
      <c r="H603" s="182" t="s">
        <v>46</v>
      </c>
      <c r="I603" s="37"/>
      <c r="J603" s="37">
        <f t="shared" ref="J603:J604" ca="1" si="293">J605+J607</f>
        <v>364.32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03"/>
      <c r="C604" s="603"/>
      <c r="D604" s="603"/>
      <c r="E604" s="613"/>
      <c r="F604" s="613"/>
      <c r="G604" s="175"/>
      <c r="H604" s="182" t="s">
        <v>34</v>
      </c>
      <c r="I604" s="37"/>
      <c r="J604" s="37">
        <f t="shared" ca="1" si="293"/>
        <v>29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03"/>
      <c r="C605" s="603"/>
      <c r="D605" s="698" t="s">
        <v>258</v>
      </c>
      <c r="E605" s="613"/>
      <c r="F605" s="613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"),48.32)</f>
        <v>48.32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03"/>
      <c r="C606" s="603"/>
      <c r="D606" s="603"/>
      <c r="E606" s="603"/>
      <c r="F606" s="613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"),11)</f>
        <v>11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03"/>
      <c r="C607" s="603"/>
      <c r="D607" s="698" t="s">
        <v>259</v>
      </c>
      <c r="E607" s="603"/>
      <c r="F607" s="613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"),316)</f>
        <v>316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03"/>
      <c r="C608" s="603"/>
      <c r="D608" s="603"/>
      <c r="E608" s="613"/>
      <c r="F608" s="613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"),18)</f>
        <v>18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03"/>
      <c r="C609" s="612" t="s">
        <v>260</v>
      </c>
      <c r="D609" s="603"/>
      <c r="E609" s="603"/>
      <c r="F609" s="613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"),86.25)</f>
        <v>86.25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03"/>
      <c r="C610" s="603"/>
      <c r="D610" s="603"/>
      <c r="E610" s="613"/>
      <c r="F610" s="613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"),10)</f>
        <v>10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>
      <c r="A611" s="685"/>
      <c r="B611" s="699" t="s">
        <v>261</v>
      </c>
      <c r="C611" s="687"/>
      <c r="D611" s="687"/>
      <c r="E611" s="666"/>
      <c r="F611" s="666"/>
      <c r="G611" s="667"/>
      <c r="H611" s="700" t="s">
        <v>46</v>
      </c>
      <c r="I611" s="701">
        <v>0</v>
      </c>
      <c r="J611" s="669">
        <f>J614+J616</f>
        <v>0</v>
      </c>
      <c r="K611" s="670">
        <f t="shared" ref="K611:K613" si="294">IF(I611&gt;0,J611*100/I611,0)</f>
        <v>0</v>
      </c>
      <c r="L611" s="671"/>
      <c r="M611" s="671"/>
      <c r="N611" s="671"/>
      <c r="O611" s="671"/>
      <c r="P611" s="671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2"/>
      <c r="B612" s="703"/>
      <c r="C612" s="704" t="s">
        <v>262</v>
      </c>
      <c r="D612" s="703"/>
      <c r="E612" s="703"/>
      <c r="F612" s="705"/>
      <c r="G612" s="706"/>
      <c r="H612" s="707" t="s">
        <v>46</v>
      </c>
      <c r="I612" s="708">
        <v>0</v>
      </c>
      <c r="J612" s="709">
        <f t="shared" ref="J612:J613" si="295">J614+J616</f>
        <v>0</v>
      </c>
      <c r="K612" s="710">
        <f t="shared" si="294"/>
        <v>0</v>
      </c>
      <c r="L612" s="711"/>
      <c r="M612" s="711"/>
      <c r="N612" s="711"/>
      <c r="O612" s="711"/>
      <c r="P612" s="711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2"/>
      <c r="B613" s="703"/>
      <c r="C613" s="712" t="s">
        <v>263</v>
      </c>
      <c r="D613" s="703"/>
      <c r="E613" s="703"/>
      <c r="F613" s="705"/>
      <c r="G613" s="706"/>
      <c r="H613" s="707" t="s">
        <v>34</v>
      </c>
      <c r="I613" s="708">
        <v>0</v>
      </c>
      <c r="J613" s="709">
        <f t="shared" si="295"/>
        <v>0</v>
      </c>
      <c r="K613" s="710">
        <f t="shared" si="294"/>
        <v>0</v>
      </c>
      <c r="L613" s="711"/>
      <c r="M613" s="711"/>
      <c r="N613" s="711"/>
      <c r="O613" s="711"/>
      <c r="P613" s="711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09"/>
      <c r="C614" s="609"/>
      <c r="D614" s="713" t="s">
        <v>264</v>
      </c>
      <c r="E614" s="609"/>
      <c r="F614" s="595"/>
      <c r="G614" s="366"/>
      <c r="H614" s="370" t="s">
        <v>46</v>
      </c>
      <c r="I614" s="44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09"/>
      <c r="C615" s="609"/>
      <c r="D615" s="609"/>
      <c r="E615" s="609"/>
      <c r="F615" s="595"/>
      <c r="G615" s="366"/>
      <c r="H615" s="370" t="s">
        <v>34</v>
      </c>
      <c r="I615" s="44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09"/>
      <c r="C616" s="609"/>
      <c r="D616" s="714" t="s">
        <v>264</v>
      </c>
      <c r="E616" s="595"/>
      <c r="F616" s="595"/>
      <c r="G616" s="366"/>
      <c r="H616" s="370" t="s">
        <v>46</v>
      </c>
      <c r="I616" s="44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09"/>
      <c r="C617" s="609"/>
      <c r="D617" s="609"/>
      <c r="E617" s="595"/>
      <c r="F617" s="595"/>
      <c r="G617" s="366"/>
      <c r="H617" s="370" t="s">
        <v>34</v>
      </c>
      <c r="I617" s="44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09"/>
      <c r="C618" s="609"/>
      <c r="D618" s="714" t="s">
        <v>265</v>
      </c>
      <c r="E618" s="595"/>
      <c r="F618" s="595"/>
      <c r="G618" s="366"/>
      <c r="H618" s="370" t="s">
        <v>46</v>
      </c>
      <c r="I618" s="44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09"/>
      <c r="C619" s="609"/>
      <c r="D619" s="609"/>
      <c r="E619" s="595"/>
      <c r="F619" s="595"/>
      <c r="G619" s="366"/>
      <c r="H619" s="370" t="s">
        <v>34</v>
      </c>
      <c r="I619" s="44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>
      <c r="A620" s="715"/>
      <c r="B620" s="716"/>
      <c r="C620" s="717" t="s">
        <v>266</v>
      </c>
      <c r="D620" s="716"/>
      <c r="E620" s="716"/>
      <c r="F620" s="718"/>
      <c r="G620" s="719"/>
      <c r="H620" s="720" t="s">
        <v>46</v>
      </c>
      <c r="I620" s="721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"),1588)</f>
        <v>1588</v>
      </c>
      <c r="J620" s="721">
        <f t="shared" ref="J620:J621" ca="1" si="296">J622+J624+J626</f>
        <v>604</v>
      </c>
      <c r="K620" s="722">
        <f t="shared" ref="K620:K621" ca="1" si="297">IF(I620&gt;0,J620*100/I620,0)</f>
        <v>38.035264483627202</v>
      </c>
      <c r="L620" s="723"/>
      <c r="M620" s="723"/>
      <c r="N620" s="723"/>
      <c r="O620" s="723"/>
      <c r="P620" s="723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>
      <c r="A621" s="715"/>
      <c r="B621" s="716"/>
      <c r="C621" s="724" t="s">
        <v>267</v>
      </c>
      <c r="D621" s="716"/>
      <c r="E621" s="716"/>
      <c r="F621" s="718"/>
      <c r="G621" s="719"/>
      <c r="H621" s="720" t="s">
        <v>34</v>
      </c>
      <c r="I621" s="721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"),126)</f>
        <v>126</v>
      </c>
      <c r="J621" s="721">
        <f t="shared" ca="1" si="296"/>
        <v>48</v>
      </c>
      <c r="K621" s="722">
        <f t="shared" ca="1" si="297"/>
        <v>38.095238095238095</v>
      </c>
      <c r="L621" s="723"/>
      <c r="M621" s="723"/>
      <c r="N621" s="723"/>
      <c r="O621" s="723"/>
      <c r="P621" s="723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>
      <c r="A622" s="602"/>
      <c r="B622" s="603"/>
      <c r="C622" s="603"/>
      <c r="D622" s="263" t="s">
        <v>268</v>
      </c>
      <c r="E622" s="613"/>
      <c r="F622" s="613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"),365)</f>
        <v>365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>
      <c r="A623" s="602"/>
      <c r="B623" s="603"/>
      <c r="C623" s="603"/>
      <c r="D623" s="603"/>
      <c r="E623" s="613"/>
      <c r="F623" s="613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"),27)</f>
        <v>27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>
      <c r="A624" s="602"/>
      <c r="B624" s="603"/>
      <c r="C624" s="603"/>
      <c r="D624" s="263" t="s">
        <v>264</v>
      </c>
      <c r="E624" s="613"/>
      <c r="F624" s="613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"),237)</f>
        <v>237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>
      <c r="A625" s="602"/>
      <c r="B625" s="603"/>
      <c r="C625" s="603"/>
      <c r="D625" s="603"/>
      <c r="E625" s="613"/>
      <c r="F625" s="613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"),20)</f>
        <v>20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>
      <c r="A626" s="602"/>
      <c r="B626" s="603"/>
      <c r="C626" s="603"/>
      <c r="D626" s="263" t="s">
        <v>269</v>
      </c>
      <c r="E626" s="613"/>
      <c r="F626" s="613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"),2)</f>
        <v>2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>
      <c r="A627" s="725"/>
      <c r="B627" s="726"/>
      <c r="C627" s="726"/>
      <c r="D627" s="726"/>
      <c r="E627" s="727"/>
      <c r="F627" s="727"/>
      <c r="G627" s="728"/>
      <c r="H627" s="422" t="s">
        <v>34</v>
      </c>
      <c r="I627" s="500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"),1)</f>
        <v>1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29">
        <v>7</v>
      </c>
      <c r="B628" s="730" t="s">
        <v>270</v>
      </c>
      <c r="C628" s="731"/>
      <c r="D628" s="731"/>
      <c r="E628" s="731"/>
      <c r="F628" s="731"/>
      <c r="G628" s="732"/>
      <c r="H628" s="733" t="s">
        <v>35</v>
      </c>
      <c r="I628" s="734">
        <f t="shared" ref="I628:J628" ca="1" si="298">I651</f>
        <v>8730</v>
      </c>
      <c r="J628" s="734">
        <f t="shared" ca="1" si="298"/>
        <v>785</v>
      </c>
      <c r="K628" s="735">
        <f ca="1">IF(I628&gt;0,J628*100/I628,0)</f>
        <v>8.9919816723940436</v>
      </c>
      <c r="L628" s="736"/>
      <c r="M628" s="736"/>
      <c r="N628" s="736"/>
      <c r="O628" s="736"/>
      <c r="P628" s="736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570"/>
      <c r="C629" s="570" t="s">
        <v>16</v>
      </c>
      <c r="D629" s="1532" t="s">
        <v>17</v>
      </c>
      <c r="E629" s="1533"/>
      <c r="F629" s="1533"/>
      <c r="G629" s="189"/>
      <c r="H629" s="592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si="299"/>
        <v>0</v>
      </c>
      <c r="N629" s="195">
        <f t="shared" ca="1" si="299"/>
        <v>4407279.0799999898</v>
      </c>
      <c r="O629" s="195">
        <f t="shared" ref="O629:O634" ca="1" si="300">IF(L629&gt;0,N629*100/L629,0)</f>
        <v>37.329433881240206</v>
      </c>
      <c r="P629" s="195">
        <f t="shared" ref="P629:P634" si="301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594"/>
      <c r="C630" s="594"/>
      <c r="D630" s="595"/>
      <c r="E630" s="596" t="s">
        <v>184</v>
      </c>
      <c r="F630" s="594"/>
      <c r="G630" s="597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599"/>
      <c r="C631" s="594"/>
      <c r="D631" s="595"/>
      <c r="E631" s="596" t="s">
        <v>185</v>
      </c>
      <c r="F631" s="594"/>
      <c r="G631" s="597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si="303"/>
        <v>0</v>
      </c>
      <c r="N631" s="45">
        <f t="shared" ca="1" si="303"/>
        <v>4407279.0799999898</v>
      </c>
      <c r="O631" s="45">
        <f t="shared" ca="1" si="300"/>
        <v>37.329433881240206</v>
      </c>
      <c r="P631" s="45">
        <f t="shared" si="301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570"/>
      <c r="D632" s="600" t="s">
        <v>20</v>
      </c>
      <c r="E632" s="570"/>
      <c r="F632" s="570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si="304"/>
        <v>0</v>
      </c>
      <c r="N632" s="38">
        <f t="shared" ca="1" si="304"/>
        <v>4407279.0799999898</v>
      </c>
      <c r="O632" s="38">
        <f t="shared" ca="1" si="300"/>
        <v>37.329433881240206</v>
      </c>
      <c r="P632" s="38">
        <f t="shared" si="301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599"/>
      <c r="C633" s="594"/>
      <c r="D633" s="595"/>
      <c r="E633" s="596" t="s">
        <v>184</v>
      </c>
      <c r="F633" s="594"/>
      <c r="G633" s="597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599"/>
      <c r="C634" s="594"/>
      <c r="D634" s="595"/>
      <c r="E634" s="596" t="s">
        <v>185</v>
      </c>
      <c r="F634" s="594"/>
      <c r="G634" s="597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v>0</v>
      </c>
      <c r="N634" s="45">
        <f ca="1">N635+N636+N637+N638</f>
        <v>4407279.0799999898</v>
      </c>
      <c r="O634" s="45">
        <f t="shared" ca="1" si="300"/>
        <v>37.329433881240206</v>
      </c>
      <c r="P634" s="45">
        <f t="shared" si="301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570"/>
      <c r="D635" s="570"/>
      <c r="E635" s="570"/>
      <c r="F635" s="571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570"/>
      <c r="D636" s="570"/>
      <c r="E636" s="570"/>
      <c r="F636" s="571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"),61320)</f>
        <v>61320</v>
      </c>
      <c r="O636" s="38"/>
      <c r="P636" s="38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570"/>
      <c r="D637" s="570"/>
      <c r="E637" s="570"/>
      <c r="F637" s="571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"),1164733.29999999)</f>
        <v>1164733.29999999</v>
      </c>
      <c r="O637" s="38"/>
      <c r="P637" s="38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570"/>
      <c r="D638" s="570"/>
      <c r="E638" s="570"/>
      <c r="F638" s="571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"),3181225.78)</f>
        <v>3181225.78</v>
      </c>
      <c r="O638" s="38"/>
      <c r="P638" s="38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570"/>
      <c r="D639" s="600" t="s">
        <v>21</v>
      </c>
      <c r="E639" s="570"/>
      <c r="F639" s="570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599"/>
      <c r="C640" s="594"/>
      <c r="D640" s="594"/>
      <c r="E640" s="596" t="s">
        <v>18</v>
      </c>
      <c r="F640" s="594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599"/>
      <c r="C641" s="594"/>
      <c r="D641" s="594"/>
      <c r="E641" s="596" t="s">
        <v>19</v>
      </c>
      <c r="F641" s="594"/>
      <c r="G641" s="597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03"/>
      <c r="C642" s="570" t="s">
        <v>16</v>
      </c>
      <c r="D642" s="672" t="s">
        <v>38</v>
      </c>
      <c r="E642" s="606"/>
      <c r="F642" s="606"/>
      <c r="G642" s="607"/>
      <c r="H642" s="175"/>
      <c r="I642" s="162"/>
      <c r="J642" s="162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7"/>
      <c r="B643" s="569"/>
      <c r="C643" s="570"/>
      <c r="D643" s="613"/>
      <c r="E643" s="738" t="s">
        <v>271</v>
      </c>
      <c r="F643" s="613"/>
      <c r="G643" s="175"/>
      <c r="H643" s="448" t="s">
        <v>272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7"/>
      <c r="B644" s="569"/>
      <c r="C644" s="570"/>
      <c r="D644" s="613"/>
      <c r="E644" s="738" t="s">
        <v>273</v>
      </c>
      <c r="F644" s="613"/>
      <c r="G644" s="175"/>
      <c r="H644" s="448" t="s">
        <v>274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7"/>
      <c r="B645" s="569"/>
      <c r="C645" s="570"/>
      <c r="D645" s="613"/>
      <c r="E645" s="739" t="s">
        <v>275</v>
      </c>
      <c r="F645" s="613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"),3881)</f>
        <v>3881</v>
      </c>
      <c r="K645" s="163">
        <f t="shared" si="308"/>
        <v>0</v>
      </c>
      <c r="L645" s="163"/>
      <c r="M645" s="163"/>
      <c r="N645" s="38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7"/>
      <c r="B646" s="569"/>
      <c r="C646" s="570"/>
      <c r="D646" s="613"/>
      <c r="E646" s="613"/>
      <c r="F646" s="613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"),2239.99)</f>
        <v>2239.9899999999998</v>
      </c>
      <c r="K646" s="38">
        <f t="shared" si="308"/>
        <v>0</v>
      </c>
      <c r="L646" s="163"/>
      <c r="M646" s="163"/>
      <c r="N646" s="38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7"/>
      <c r="B647" s="569"/>
      <c r="C647" s="570"/>
      <c r="D647" s="613"/>
      <c r="E647" s="263" t="s">
        <v>162</v>
      </c>
      <c r="F647" s="613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"),4795)</f>
        <v>4795</v>
      </c>
      <c r="K647" s="163">
        <f t="shared" ca="1" si="308"/>
        <v>54.925544100801829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7"/>
      <c r="B648" s="569"/>
      <c r="C648" s="570"/>
      <c r="D648" s="613"/>
      <c r="E648" s="613"/>
      <c r="F648" s="613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"),2747.31)</f>
        <v>2747.31</v>
      </c>
      <c r="K648" s="38">
        <f t="shared" si="308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7"/>
      <c r="B649" s="569"/>
      <c r="C649" s="570"/>
      <c r="D649" s="613"/>
      <c r="E649" s="263" t="s">
        <v>276</v>
      </c>
      <c r="F649" s="613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"),3930)</f>
        <v>3930</v>
      </c>
      <c r="K649" s="163">
        <f t="shared" ca="1" si="308"/>
        <v>45.017182130584196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7"/>
      <c r="B650" s="569"/>
      <c r="C650" s="570"/>
      <c r="D650" s="613"/>
      <c r="E650" s="613"/>
      <c r="F650" s="613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"),2272.1)</f>
        <v>2272.1</v>
      </c>
      <c r="K650" s="38">
        <f t="shared" si="308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7"/>
      <c r="B651" s="569"/>
      <c r="C651" s="570"/>
      <c r="D651" s="613"/>
      <c r="E651" s="263" t="s">
        <v>277</v>
      </c>
      <c r="F651" s="613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"),785)</f>
        <v>785</v>
      </c>
      <c r="K651" s="163">
        <f t="shared" ca="1" si="308"/>
        <v>8.9919816723940436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0"/>
      <c r="B652" s="741"/>
      <c r="C652" s="742"/>
      <c r="D652" s="727"/>
      <c r="E652" s="727"/>
      <c r="F652" s="727"/>
      <c r="G652" s="728"/>
      <c r="H652" s="499" t="s">
        <v>46</v>
      </c>
      <c r="I652" s="383">
        <v>0</v>
      </c>
      <c r="J652" s="500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"),424.69)</f>
        <v>424.69</v>
      </c>
      <c r="K652" s="501">
        <f t="shared" si="308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3">
        <v>8</v>
      </c>
      <c r="B653" s="730" t="s">
        <v>278</v>
      </c>
      <c r="C653" s="731"/>
      <c r="D653" s="731"/>
      <c r="E653" s="731"/>
      <c r="F653" s="731"/>
      <c r="G653" s="732"/>
      <c r="H653" s="732"/>
      <c r="I653" s="744"/>
      <c r="J653" s="744"/>
      <c r="K653" s="736"/>
      <c r="L653" s="736"/>
      <c r="M653" s="736"/>
      <c r="N653" s="736"/>
      <c r="O653" s="736"/>
      <c r="P653" s="736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6"/>
      <c r="B654" s="665" t="s">
        <v>279</v>
      </c>
      <c r="C654" s="666"/>
      <c r="D654" s="666"/>
      <c r="E654" s="666"/>
      <c r="F654" s="666"/>
      <c r="G654" s="667"/>
      <c r="H654" s="700" t="s">
        <v>46</v>
      </c>
      <c r="I654" s="669">
        <f t="shared" ref="I654:J654" ca="1" si="309">I669</f>
        <v>1370</v>
      </c>
      <c r="J654" s="669">
        <f t="shared" ca="1" si="309"/>
        <v>0</v>
      </c>
      <c r="K654" s="670">
        <f ca="1">IF(I654&gt;0,J654*100/I654,0)</f>
        <v>0</v>
      </c>
      <c r="L654" s="671"/>
      <c r="M654" s="671"/>
      <c r="N654" s="671"/>
      <c r="O654" s="671"/>
      <c r="P654" s="671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570"/>
      <c r="C655" s="570" t="s">
        <v>16</v>
      </c>
      <c r="D655" s="1532" t="s">
        <v>17</v>
      </c>
      <c r="E655" s="1533"/>
      <c r="F655" s="1533"/>
      <c r="G655" s="189"/>
      <c r="H655" s="592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si="310"/>
        <v>0</v>
      </c>
      <c r="N655" s="195">
        <f t="shared" ca="1" si="310"/>
        <v>71279</v>
      </c>
      <c r="O655" s="195">
        <f t="shared" ref="O655:O660" ca="1" si="311">IF(L655&gt;0,N655*100/L655,0)</f>
        <v>36.703913491246141</v>
      </c>
      <c r="P655" s="195">
        <f t="shared" ref="P655:P660" si="312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594"/>
      <c r="C656" s="594"/>
      <c r="D656" s="595"/>
      <c r="E656" s="596" t="s">
        <v>184</v>
      </c>
      <c r="F656" s="594"/>
      <c r="G656" s="597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599"/>
      <c r="C657" s="594"/>
      <c r="D657" s="595"/>
      <c r="E657" s="596" t="s">
        <v>185</v>
      </c>
      <c r="F657" s="594"/>
      <c r="G657" s="597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si="314"/>
        <v>0</v>
      </c>
      <c r="N657" s="45">
        <f t="shared" ca="1" si="314"/>
        <v>71279</v>
      </c>
      <c r="O657" s="45">
        <f t="shared" ca="1" si="311"/>
        <v>36.703913491246141</v>
      </c>
      <c r="P657" s="45">
        <f t="shared" si="312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570"/>
      <c r="D658" s="600" t="s">
        <v>20</v>
      </c>
      <c r="E658" s="570"/>
      <c r="F658" s="570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si="315"/>
        <v>0</v>
      </c>
      <c r="N658" s="38">
        <f t="shared" ca="1" si="315"/>
        <v>71279</v>
      </c>
      <c r="O658" s="38">
        <f t="shared" ca="1" si="311"/>
        <v>36.703913491246141</v>
      </c>
      <c r="P658" s="38">
        <f t="shared" si="312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599"/>
      <c r="C659" s="594"/>
      <c r="D659" s="595"/>
      <c r="E659" s="596" t="s">
        <v>184</v>
      </c>
      <c r="F659" s="594"/>
      <c r="G659" s="597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599"/>
      <c r="C660" s="594"/>
      <c r="D660" s="595"/>
      <c r="E660" s="596" t="s">
        <v>185</v>
      </c>
      <c r="F660" s="594"/>
      <c r="G660" s="597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v>0</v>
      </c>
      <c r="N660" s="45">
        <f ca="1">N661+N662+N663+N664</f>
        <v>71279</v>
      </c>
      <c r="O660" s="45">
        <f t="shared" ca="1" si="311"/>
        <v>36.703913491246141</v>
      </c>
      <c r="P660" s="45">
        <f t="shared" si="312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570"/>
      <c r="D661" s="570"/>
      <c r="E661" s="570"/>
      <c r="F661" s="571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570"/>
      <c r="D662" s="570"/>
      <c r="E662" s="570"/>
      <c r="F662" s="571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570"/>
      <c r="E663" s="570"/>
      <c r="F663" s="571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"),0)</f>
        <v>0</v>
      </c>
      <c r="O663" s="38"/>
      <c r="P663" s="38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570"/>
      <c r="F664" s="571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"),71279)</f>
        <v>71279</v>
      </c>
      <c r="O664" s="38"/>
      <c r="P664" s="38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570"/>
      <c r="F665" s="570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599"/>
      <c r="C666" s="599"/>
      <c r="D666" s="599"/>
      <c r="E666" s="596" t="s">
        <v>18</v>
      </c>
      <c r="F666" s="594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599"/>
      <c r="C667" s="599"/>
      <c r="D667" s="599"/>
      <c r="E667" s="596" t="s">
        <v>19</v>
      </c>
      <c r="F667" s="594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03"/>
      <c r="C668" s="569" t="s">
        <v>16</v>
      </c>
      <c r="D668" s="604" t="s">
        <v>38</v>
      </c>
      <c r="E668" s="606"/>
      <c r="F668" s="606"/>
      <c r="G668" s="607"/>
      <c r="H668" s="175"/>
      <c r="I668" s="162"/>
      <c r="J668" s="162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03"/>
      <c r="C669" s="603"/>
      <c r="D669" s="612" t="s">
        <v>280</v>
      </c>
      <c r="E669" s="613"/>
      <c r="F669" s="613"/>
      <c r="G669" s="175"/>
      <c r="H669" s="745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03"/>
      <c r="C670" s="603"/>
      <c r="D670" s="603"/>
      <c r="E670" s="187" t="s">
        <v>281</v>
      </c>
      <c r="F670" s="613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"),60)</f>
        <v>60</v>
      </c>
      <c r="K670" s="38">
        <f ca="1">IF(I670&gt;0,(J670*100)/I670,0)</f>
        <v>85.714285714285708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03"/>
      <c r="C671" s="603"/>
      <c r="D671" s="603"/>
      <c r="E671" s="187" t="s">
        <v>282</v>
      </c>
      <c r="F671" s="613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"),60)</f>
        <v>60</v>
      </c>
      <c r="K671" s="38">
        <f ca="1">IF(I$671&gt;0,J671*100/I$671,0)</f>
        <v>85.714285714285708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03"/>
      <c r="C672" s="603"/>
      <c r="D672" s="603"/>
      <c r="E672" s="187" t="s">
        <v>283</v>
      </c>
      <c r="F672" s="613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"),4139.23)</f>
        <v>4139.2299999999996</v>
      </c>
      <c r="K672" s="38">
        <f t="shared" ref="K672:K675" ca="1" si="319">IF(I$669&gt;0,J672*100/I$669,0)</f>
        <v>302.1335766423357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03"/>
      <c r="C673" s="603"/>
      <c r="D673" s="603"/>
      <c r="E673" s="187" t="s">
        <v>284</v>
      </c>
      <c r="F673" s="613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"),2023)</f>
        <v>2023</v>
      </c>
      <c r="K673" s="38">
        <f t="shared" ca="1" si="319"/>
        <v>147.66423357664235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03"/>
      <c r="C674" s="603"/>
      <c r="D674" s="603"/>
      <c r="E674" s="187" t="s">
        <v>285</v>
      </c>
      <c r="F674" s="613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03"/>
      <c r="C675" s="603"/>
      <c r="D675" s="603"/>
      <c r="E675" s="187" t="s">
        <v>286</v>
      </c>
      <c r="F675" s="613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03"/>
      <c r="C676" s="603"/>
      <c r="D676" s="603"/>
      <c r="E676" s="613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03"/>
      <c r="C677" s="603"/>
      <c r="D677" s="603"/>
      <c r="E677" s="613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"),0)</f>
        <v>0</v>
      </c>
      <c r="K677" s="38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03"/>
      <c r="C678" s="603"/>
      <c r="D678" s="612" t="s">
        <v>289</v>
      </c>
      <c r="E678" s="613"/>
      <c r="F678" s="613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03"/>
      <c r="C679" s="603"/>
      <c r="D679" s="603"/>
      <c r="E679" s="187" t="s">
        <v>290</v>
      </c>
      <c r="F679" s="613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03"/>
      <c r="C680" s="603"/>
      <c r="D680" s="603"/>
      <c r="E680" s="613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03"/>
      <c r="C681" s="603"/>
      <c r="D681" s="603"/>
      <c r="E681" s="613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"),0)</f>
        <v>0</v>
      </c>
      <c r="K681" s="38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03"/>
      <c r="C682" s="603"/>
      <c r="D682" s="603"/>
      <c r="E682" s="187" t="s">
        <v>291</v>
      </c>
      <c r="F682" s="613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03"/>
      <c r="C683" s="603"/>
      <c r="D683" s="603"/>
      <c r="E683" s="613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6"/>
      <c r="B684" s="747" t="s">
        <v>293</v>
      </c>
      <c r="C684" s="746"/>
      <c r="D684" s="746"/>
      <c r="E684" s="746"/>
      <c r="F684" s="746"/>
      <c r="G684" s="748"/>
      <c r="H684" s="748"/>
      <c r="I684" s="749"/>
      <c r="J684" s="749"/>
      <c r="K684" s="750"/>
      <c r="L684" s="750"/>
      <c r="M684" s="750"/>
      <c r="N684" s="750"/>
      <c r="O684" s="750"/>
      <c r="P684" s="750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570"/>
      <c r="C685" s="570" t="s">
        <v>16</v>
      </c>
      <c r="D685" s="1532" t="s">
        <v>17</v>
      </c>
      <c r="E685" s="1533"/>
      <c r="F685" s="1533"/>
      <c r="G685" s="189"/>
      <c r="H685" s="592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si="320"/>
        <v>0</v>
      </c>
      <c r="N685" s="195">
        <f t="shared" ca="1" si="320"/>
        <v>82044</v>
      </c>
      <c r="O685" s="195">
        <f t="shared" ref="O685:O688" ca="1" si="321">IF(L685&gt;0,N685*100/L685,0)</f>
        <v>23.709397757484684</v>
      </c>
      <c r="P685" s="195">
        <f t="shared" ref="P685:P688" si="322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594"/>
      <c r="C686" s="594"/>
      <c r="D686" s="595"/>
      <c r="E686" s="596" t="s">
        <v>184</v>
      </c>
      <c r="F686" s="594"/>
      <c r="G686" s="597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599"/>
      <c r="C687" s="594"/>
      <c r="D687" s="595"/>
      <c r="E687" s="596" t="s">
        <v>185</v>
      </c>
      <c r="F687" s="594"/>
      <c r="G687" s="597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si="324"/>
        <v>0</v>
      </c>
      <c r="N687" s="45">
        <f t="shared" ca="1" si="324"/>
        <v>82044</v>
      </c>
      <c r="O687" s="45">
        <f t="shared" ca="1" si="321"/>
        <v>23.709397757484684</v>
      </c>
      <c r="P687" s="45">
        <f t="shared" si="322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570"/>
      <c r="D688" s="600" t="s">
        <v>20</v>
      </c>
      <c r="E688" s="570"/>
      <c r="F688" s="570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si="325"/>
        <v>0</v>
      </c>
      <c r="N688" s="38">
        <f t="shared" ca="1" si="325"/>
        <v>82044</v>
      </c>
      <c r="O688" s="38">
        <f t="shared" ca="1" si="321"/>
        <v>23.709397757484684</v>
      </c>
      <c r="P688" s="38">
        <f t="shared" si="322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599"/>
      <c r="C689" s="594"/>
      <c r="D689" s="595"/>
      <c r="E689" s="596" t="s">
        <v>184</v>
      </c>
      <c r="F689" s="594"/>
      <c r="G689" s="597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599"/>
      <c r="C690" s="594"/>
      <c r="D690" s="595"/>
      <c r="E690" s="596" t="s">
        <v>185</v>
      </c>
      <c r="F690" s="594"/>
      <c r="G690" s="597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v>0</v>
      </c>
      <c r="N690" s="45">
        <f ca="1">N691+N692+N693+N694</f>
        <v>82044</v>
      </c>
      <c r="O690" s="45">
        <f ca="1">IF(L690&gt;0,N690*100/L690,0)</f>
        <v>23.709397757484684</v>
      </c>
      <c r="P690" s="45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570"/>
      <c r="D691" s="570"/>
      <c r="E691" s="570"/>
      <c r="F691" s="571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"),0)</f>
        <v>0</v>
      </c>
      <c r="O691" s="38"/>
      <c r="P691" s="38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570"/>
      <c r="D692" s="570"/>
      <c r="E692" s="570"/>
      <c r="F692" s="571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570"/>
      <c r="D693" s="570"/>
      <c r="E693" s="570"/>
      <c r="F693" s="571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570"/>
      <c r="D694" s="570"/>
      <c r="E694" s="570"/>
      <c r="F694" s="571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"),82044)</f>
        <v>82044</v>
      </c>
      <c r="O694" s="38"/>
      <c r="P694" s="38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570"/>
      <c r="D695" s="751" t="s">
        <v>21</v>
      </c>
      <c r="E695" s="570"/>
      <c r="F695" s="570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599"/>
      <c r="C696" s="594"/>
      <c r="D696" s="594"/>
      <c r="E696" s="752" t="s">
        <v>18</v>
      </c>
      <c r="F696" s="594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599"/>
      <c r="C697" s="594"/>
      <c r="D697" s="594"/>
      <c r="E697" s="752" t="s">
        <v>19</v>
      </c>
      <c r="F697" s="594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03"/>
      <c r="C698" s="570" t="s">
        <v>16</v>
      </c>
      <c r="D698" s="753" t="s">
        <v>38</v>
      </c>
      <c r="E698" s="754"/>
      <c r="F698" s="606"/>
      <c r="G698" s="607"/>
      <c r="H698" s="755"/>
      <c r="I698" s="162"/>
      <c r="J698" s="162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7"/>
      <c r="B699" s="570"/>
      <c r="C699" s="570"/>
      <c r="D699" s="571" t="s">
        <v>294</v>
      </c>
      <c r="E699" s="756"/>
      <c r="F699" s="570"/>
      <c r="G699" s="189"/>
      <c r="H699" s="757" t="s">
        <v>46</v>
      </c>
      <c r="I699" s="758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"),362.21)</f>
        <v>362.21</v>
      </c>
      <c r="K699" s="38">
        <f t="shared" ref="K699:K701" ca="1" si="329">IF(I699&gt;0,J699*100/I699,0)</f>
        <v>43.171632896305127</v>
      </c>
      <c r="L699" s="38"/>
      <c r="M699" s="189"/>
      <c r="N699" s="759"/>
      <c r="O699" s="38"/>
      <c r="P699" s="38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7"/>
      <c r="B700" s="570"/>
      <c r="C700" s="570"/>
      <c r="D700" s="571" t="s">
        <v>295</v>
      </c>
      <c r="E700" s="570"/>
      <c r="F700" s="570"/>
      <c r="G700" s="189"/>
      <c r="H700" s="757" t="s">
        <v>35</v>
      </c>
      <c r="I700" s="758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"),38)</f>
        <v>38</v>
      </c>
      <c r="K700" s="38">
        <f t="shared" ca="1" si="329"/>
        <v>18.009478672985782</v>
      </c>
      <c r="L700" s="38"/>
      <c r="M700" s="189"/>
      <c r="N700" s="759"/>
      <c r="O700" s="38"/>
      <c r="P700" s="38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7"/>
      <c r="B701" s="570"/>
      <c r="C701" s="570"/>
      <c r="D701" s="571" t="s">
        <v>296</v>
      </c>
      <c r="E701" s="570"/>
      <c r="F701" s="570"/>
      <c r="G701" s="189"/>
      <c r="H701" s="760" t="s">
        <v>46</v>
      </c>
      <c r="I701" s="761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123.95</v>
      </c>
      <c r="K701" s="195">
        <f t="shared" ca="1" si="329"/>
        <v>6.8292011019283745</v>
      </c>
      <c r="L701" s="38"/>
      <c r="M701" s="189"/>
      <c r="N701" s="759"/>
      <c r="O701" s="38"/>
      <c r="P701" s="38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7"/>
      <c r="B702" s="570"/>
      <c r="C702" s="570"/>
      <c r="D702" s="570"/>
      <c r="E702" s="571" t="s">
        <v>297</v>
      </c>
      <c r="F702" s="570"/>
      <c r="G702" s="189"/>
      <c r="H702" s="182" t="s">
        <v>35</v>
      </c>
      <c r="I702" s="758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"),10)</f>
        <v>10</v>
      </c>
      <c r="K702" s="38"/>
      <c r="L702" s="38"/>
      <c r="M702" s="189"/>
      <c r="N702" s="759"/>
      <c r="O702" s="38"/>
      <c r="P702" s="38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7"/>
      <c r="B703" s="570"/>
      <c r="C703" s="570"/>
      <c r="D703" s="570"/>
      <c r="E703" s="570"/>
      <c r="F703" s="570"/>
      <c r="G703" s="189"/>
      <c r="H703" s="182" t="s">
        <v>34</v>
      </c>
      <c r="I703" s="758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"),15)</f>
        <v>15</v>
      </c>
      <c r="K703" s="38"/>
      <c r="L703" s="38"/>
      <c r="M703" s="189"/>
      <c r="N703" s="759"/>
      <c r="O703" s="38"/>
      <c r="P703" s="38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7"/>
      <c r="B704" s="570"/>
      <c r="C704" s="570"/>
      <c r="D704" s="570"/>
      <c r="E704" s="570"/>
      <c r="F704" s="570"/>
      <c r="G704" s="189"/>
      <c r="H704" s="182" t="s">
        <v>46</v>
      </c>
      <c r="I704" s="758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"),123.95)</f>
        <v>123.95</v>
      </c>
      <c r="K704" s="38"/>
      <c r="L704" s="38"/>
      <c r="M704" s="189"/>
      <c r="N704" s="759"/>
      <c r="O704" s="38"/>
      <c r="P704" s="38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7"/>
      <c r="B705" s="570"/>
      <c r="C705" s="570"/>
      <c r="D705" s="570"/>
      <c r="E705" s="571" t="s">
        <v>298</v>
      </c>
      <c r="F705" s="570"/>
      <c r="G705" s="189"/>
      <c r="H705" s="182" t="s">
        <v>35</v>
      </c>
      <c r="I705" s="758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"),0)</f>
        <v>0</v>
      </c>
      <c r="K705" s="38"/>
      <c r="L705" s="38"/>
      <c r="M705" s="189"/>
      <c r="N705" s="759"/>
      <c r="O705" s="38"/>
      <c r="P705" s="38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7"/>
      <c r="B706" s="570"/>
      <c r="C706" s="570"/>
      <c r="D706" s="570"/>
      <c r="E706" s="570"/>
      <c r="F706" s="570"/>
      <c r="G706" s="189"/>
      <c r="H706" s="182" t="s">
        <v>34</v>
      </c>
      <c r="I706" s="758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"),0)</f>
        <v>0</v>
      </c>
      <c r="K706" s="38"/>
      <c r="L706" s="38"/>
      <c r="M706" s="189"/>
      <c r="N706" s="759"/>
      <c r="O706" s="38"/>
      <c r="P706" s="38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7"/>
      <c r="B707" s="570"/>
      <c r="C707" s="570"/>
      <c r="D707" s="570"/>
      <c r="E707" s="570"/>
      <c r="F707" s="570"/>
      <c r="G707" s="189"/>
      <c r="H707" s="182" t="s">
        <v>46</v>
      </c>
      <c r="I707" s="758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"),0)</f>
        <v>0</v>
      </c>
      <c r="K707" s="38"/>
      <c r="L707" s="38"/>
      <c r="M707" s="189"/>
      <c r="N707" s="759"/>
      <c r="O707" s="38"/>
      <c r="P707" s="38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7"/>
      <c r="B708" s="570"/>
      <c r="C708" s="570"/>
      <c r="D708" s="762" t="s">
        <v>299</v>
      </c>
      <c r="E708" s="570"/>
      <c r="F708" s="570"/>
      <c r="G708" s="189"/>
      <c r="H708" s="192" t="s">
        <v>46</v>
      </c>
      <c r="I708" s="761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59"/>
      <c r="O708" s="38"/>
      <c r="P708" s="38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7"/>
      <c r="B709" s="570"/>
      <c r="C709" s="570"/>
      <c r="D709" s="570"/>
      <c r="E709" s="571" t="s">
        <v>300</v>
      </c>
      <c r="F709" s="570"/>
      <c r="G709" s="189"/>
      <c r="H709" s="182" t="s">
        <v>34</v>
      </c>
      <c r="I709" s="758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"),1)</f>
        <v>1</v>
      </c>
      <c r="K709" s="38"/>
      <c r="L709" s="759"/>
      <c r="M709" s="189"/>
      <c r="N709" s="759"/>
      <c r="O709" s="38"/>
      <c r="P709" s="38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7"/>
      <c r="B710" s="570"/>
      <c r="C710" s="570"/>
      <c r="D710" s="570"/>
      <c r="E710" s="570"/>
      <c r="F710" s="570"/>
      <c r="G710" s="189"/>
      <c r="H710" s="182" t="s">
        <v>46</v>
      </c>
      <c r="I710" s="758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"),14)</f>
        <v>14</v>
      </c>
      <c r="K710" s="38"/>
      <c r="L710" s="759"/>
      <c r="M710" s="189"/>
      <c r="N710" s="759"/>
      <c r="O710" s="38"/>
      <c r="P710" s="38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7"/>
      <c r="B711" s="570"/>
      <c r="C711" s="570"/>
      <c r="D711" s="570"/>
      <c r="E711" s="571" t="s">
        <v>301</v>
      </c>
      <c r="F711" s="570"/>
      <c r="G711" s="189"/>
      <c r="H711" s="175"/>
      <c r="I711" s="758"/>
      <c r="J711" s="37"/>
      <c r="K711" s="38"/>
      <c r="L711" s="759"/>
      <c r="M711" s="189"/>
      <c r="N711" s="759"/>
      <c r="O711" s="38"/>
      <c r="P711" s="38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7"/>
      <c r="B712" s="570"/>
      <c r="C712" s="570"/>
      <c r="D712" s="570"/>
      <c r="E712" s="570"/>
      <c r="F712" s="571" t="s">
        <v>302</v>
      </c>
      <c r="G712" s="189"/>
      <c r="H712" s="182" t="s">
        <v>35</v>
      </c>
      <c r="I712" s="758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"),0)</f>
        <v>0</v>
      </c>
      <c r="K712" s="38"/>
      <c r="L712" s="759"/>
      <c r="M712" s="189"/>
      <c r="N712" s="759"/>
      <c r="O712" s="38"/>
      <c r="P712" s="38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7"/>
      <c r="B713" s="570"/>
      <c r="C713" s="570"/>
      <c r="D713" s="570"/>
      <c r="E713" s="570"/>
      <c r="F713" s="570"/>
      <c r="G713" s="189"/>
      <c r="H713" s="182" t="s">
        <v>34</v>
      </c>
      <c r="I713" s="758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"),0)</f>
        <v>0</v>
      </c>
      <c r="K713" s="38"/>
      <c r="L713" s="759"/>
      <c r="M713" s="189"/>
      <c r="N713" s="759"/>
      <c r="O713" s="38"/>
      <c r="P713" s="38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7"/>
      <c r="B714" s="570"/>
      <c r="C714" s="570"/>
      <c r="D714" s="570"/>
      <c r="E714" s="570"/>
      <c r="F714" s="570"/>
      <c r="G714" s="189"/>
      <c r="H714" s="182" t="s">
        <v>46</v>
      </c>
      <c r="I714" s="758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"),0)</f>
        <v>0</v>
      </c>
      <c r="K714" s="38"/>
      <c r="L714" s="759"/>
      <c r="M714" s="189"/>
      <c r="N714" s="759"/>
      <c r="O714" s="38"/>
      <c r="P714" s="38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7"/>
      <c r="B715" s="570"/>
      <c r="C715" s="570"/>
      <c r="D715" s="570"/>
      <c r="E715" s="570"/>
      <c r="F715" s="571" t="s">
        <v>303</v>
      </c>
      <c r="G715" s="189"/>
      <c r="H715" s="182" t="s">
        <v>35</v>
      </c>
      <c r="I715" s="758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59"/>
      <c r="M715" s="189"/>
      <c r="N715" s="759"/>
      <c r="O715" s="38"/>
      <c r="P715" s="38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7"/>
      <c r="B716" s="570"/>
      <c r="C716" s="570"/>
      <c r="D716" s="570"/>
      <c r="E716" s="570"/>
      <c r="F716" s="570"/>
      <c r="G716" s="189"/>
      <c r="H716" s="182" t="s">
        <v>34</v>
      </c>
      <c r="I716" s="758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59"/>
      <c r="M716" s="189"/>
      <c r="N716" s="759"/>
      <c r="O716" s="38"/>
      <c r="P716" s="38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7"/>
      <c r="B717" s="570"/>
      <c r="C717" s="570"/>
      <c r="D717" s="570"/>
      <c r="E717" s="570"/>
      <c r="F717" s="570"/>
      <c r="G717" s="189"/>
      <c r="H717" s="182" t="s">
        <v>46</v>
      </c>
      <c r="I717" s="758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59"/>
      <c r="M717" s="189"/>
      <c r="N717" s="759"/>
      <c r="O717" s="38"/>
      <c r="P717" s="38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7"/>
      <c r="B718" s="570"/>
      <c r="C718" s="570"/>
      <c r="D718" s="571" t="s">
        <v>304</v>
      </c>
      <c r="E718" s="570"/>
      <c r="F718" s="570"/>
      <c r="G718" s="189"/>
      <c r="H718" s="182" t="s">
        <v>35</v>
      </c>
      <c r="I718" s="758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"),0)</f>
        <v>0</v>
      </c>
      <c r="K718" s="38"/>
      <c r="L718" s="38"/>
      <c r="M718" s="189"/>
      <c r="N718" s="759"/>
      <c r="O718" s="38"/>
      <c r="P718" s="38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7"/>
      <c r="B719" s="570"/>
      <c r="C719" s="570"/>
      <c r="D719" s="570"/>
      <c r="E719" s="570"/>
      <c r="F719" s="570"/>
      <c r="G719" s="189"/>
      <c r="H719" s="182" t="s">
        <v>34</v>
      </c>
      <c r="I719" s="758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"),0)</f>
        <v>0</v>
      </c>
      <c r="K719" s="38"/>
      <c r="L719" s="759"/>
      <c r="M719" s="189"/>
      <c r="N719" s="759"/>
      <c r="O719" s="38"/>
      <c r="P719" s="38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7"/>
      <c r="B720" s="570"/>
      <c r="C720" s="570"/>
      <c r="D720" s="570"/>
      <c r="E720" s="570"/>
      <c r="F720" s="570"/>
      <c r="G720" s="189"/>
      <c r="H720" s="182" t="s">
        <v>46</v>
      </c>
      <c r="I720" s="758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"),0)</f>
        <v>0</v>
      </c>
      <c r="K720" s="38">
        <f t="shared" ref="K720:K723" ca="1" si="330">IF(I720&gt;0,J720*100/I720,0)</f>
        <v>0</v>
      </c>
      <c r="L720" s="759"/>
      <c r="M720" s="189"/>
      <c r="N720" s="759"/>
      <c r="O720" s="38"/>
      <c r="P720" s="38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7"/>
      <c r="B721" s="570"/>
      <c r="C721" s="570"/>
      <c r="D721" s="571" t="s">
        <v>305</v>
      </c>
      <c r="E721" s="570"/>
      <c r="F721" s="570"/>
      <c r="G721" s="189"/>
      <c r="H721" s="745" t="s">
        <v>35</v>
      </c>
      <c r="I721" s="761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0</v>
      </c>
      <c r="K721" s="195">
        <f t="shared" ca="1" si="330"/>
        <v>0</v>
      </c>
      <c r="L721" s="759"/>
      <c r="M721" s="189"/>
      <c r="N721" s="759"/>
      <c r="O721" s="38"/>
      <c r="P721" s="38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7"/>
      <c r="B722" s="570"/>
      <c r="C722" s="570"/>
      <c r="D722" s="570"/>
      <c r="E722" s="571"/>
      <c r="F722" s="570"/>
      <c r="G722" s="189"/>
      <c r="H722" s="745" t="s">
        <v>46</v>
      </c>
      <c r="I722" s="761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0</v>
      </c>
      <c r="K722" s="195">
        <f t="shared" ca="1" si="330"/>
        <v>0</v>
      </c>
      <c r="L722" s="38"/>
      <c r="M722" s="189"/>
      <c r="N722" s="759"/>
      <c r="O722" s="38"/>
      <c r="P722" s="38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7"/>
      <c r="B723" s="570"/>
      <c r="C723" s="570"/>
      <c r="D723" s="570"/>
      <c r="E723" s="571" t="s">
        <v>306</v>
      </c>
      <c r="F723" s="570"/>
      <c r="G723" s="189"/>
      <c r="H723" s="182" t="s">
        <v>35</v>
      </c>
      <c r="I723" s="758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"),0)</f>
        <v>0</v>
      </c>
      <c r="K723" s="38">
        <f t="shared" ca="1" si="330"/>
        <v>0</v>
      </c>
      <c r="L723" s="38"/>
      <c r="M723" s="189"/>
      <c r="N723" s="759"/>
      <c r="O723" s="38"/>
      <c r="P723" s="38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7"/>
      <c r="B724" s="570"/>
      <c r="C724" s="570"/>
      <c r="D724" s="570"/>
      <c r="E724" s="570"/>
      <c r="F724" s="570"/>
      <c r="G724" s="189"/>
      <c r="H724" s="182" t="s">
        <v>34</v>
      </c>
      <c r="I724" s="758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"),0)</f>
        <v>0</v>
      </c>
      <c r="K724" s="38"/>
      <c r="L724" s="759"/>
      <c r="M724" s="189"/>
      <c r="N724" s="759"/>
      <c r="O724" s="38"/>
      <c r="P724" s="38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7"/>
      <c r="B725" s="570"/>
      <c r="C725" s="570"/>
      <c r="D725" s="570"/>
      <c r="E725" s="570"/>
      <c r="F725" s="570"/>
      <c r="G725" s="189"/>
      <c r="H725" s="182" t="s">
        <v>46</v>
      </c>
      <c r="I725" s="758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"),0)</f>
        <v>0</v>
      </c>
      <c r="K725" s="38">
        <f t="shared" ref="K725:K726" ca="1" si="331">IF(I725&gt;0,J725*100/I725,0)</f>
        <v>0</v>
      </c>
      <c r="L725" s="759"/>
      <c r="M725" s="189"/>
      <c r="N725" s="759"/>
      <c r="O725" s="38"/>
      <c r="P725" s="38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7"/>
      <c r="B726" s="570"/>
      <c r="C726" s="570"/>
      <c r="D726" s="570"/>
      <c r="E726" s="571" t="s">
        <v>307</v>
      </c>
      <c r="F726" s="570"/>
      <c r="G726" s="189"/>
      <c r="H726" s="182" t="s">
        <v>35</v>
      </c>
      <c r="I726" s="758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59"/>
      <c r="O726" s="38"/>
      <c r="P726" s="38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7"/>
      <c r="B727" s="570"/>
      <c r="C727" s="570"/>
      <c r="D727" s="570"/>
      <c r="E727" s="570"/>
      <c r="F727" s="570"/>
      <c r="G727" s="189"/>
      <c r="H727" s="182" t="s">
        <v>34</v>
      </c>
      <c r="I727" s="758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59"/>
      <c r="M727" s="189"/>
      <c r="N727" s="759"/>
      <c r="O727" s="38"/>
      <c r="P727" s="38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7"/>
      <c r="B728" s="570"/>
      <c r="C728" s="570"/>
      <c r="D728" s="570"/>
      <c r="E728" s="570"/>
      <c r="F728" s="570"/>
      <c r="G728" s="189"/>
      <c r="H728" s="182" t="s">
        <v>46</v>
      </c>
      <c r="I728" s="758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59"/>
      <c r="M728" s="189"/>
      <c r="N728" s="759"/>
      <c r="O728" s="38"/>
      <c r="P728" s="38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7"/>
      <c r="B729" s="570"/>
      <c r="C729" s="570"/>
      <c r="D729" s="571" t="s">
        <v>308</v>
      </c>
      <c r="E729" s="570"/>
      <c r="F729" s="570"/>
      <c r="G729" s="189"/>
      <c r="H729" s="192" t="s">
        <v>46</v>
      </c>
      <c r="I729" s="761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333</v>
      </c>
      <c r="K729" s="195">
        <f t="shared" ca="1" si="332"/>
        <v>21.879106438896191</v>
      </c>
      <c r="L729" s="38"/>
      <c r="M729" s="189"/>
      <c r="N729" s="759"/>
      <c r="O729" s="38"/>
      <c r="P729" s="38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7"/>
      <c r="B730" s="570"/>
      <c r="C730" s="570"/>
      <c r="D730" s="570"/>
      <c r="E730" s="571" t="s">
        <v>309</v>
      </c>
      <c r="F730" s="570"/>
      <c r="G730" s="189"/>
      <c r="H730" s="182" t="s">
        <v>35</v>
      </c>
      <c r="I730" s="758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"),0)</f>
        <v>0</v>
      </c>
      <c r="K730" s="38"/>
      <c r="L730" s="759"/>
      <c r="M730" s="38"/>
      <c r="N730" s="759"/>
      <c r="O730" s="38"/>
      <c r="P730" s="38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7"/>
      <c r="B731" s="570"/>
      <c r="C731" s="570"/>
      <c r="D731" s="570"/>
      <c r="E731" s="570"/>
      <c r="F731" s="570"/>
      <c r="G731" s="189"/>
      <c r="H731" s="182" t="s">
        <v>34</v>
      </c>
      <c r="I731" s="758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"),0)</f>
        <v>0</v>
      </c>
      <c r="K731" s="38"/>
      <c r="L731" s="759"/>
      <c r="M731" s="38"/>
      <c r="N731" s="759"/>
      <c r="O731" s="38"/>
      <c r="P731" s="38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7"/>
      <c r="B732" s="570"/>
      <c r="C732" s="570"/>
      <c r="D732" s="570"/>
      <c r="E732" s="570"/>
      <c r="F732" s="570"/>
      <c r="G732" s="189"/>
      <c r="H732" s="182" t="s">
        <v>46</v>
      </c>
      <c r="I732" s="758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"),0)</f>
        <v>0</v>
      </c>
      <c r="K732" s="38"/>
      <c r="L732" s="759"/>
      <c r="M732" s="38"/>
      <c r="N732" s="759"/>
      <c r="O732" s="38"/>
      <c r="P732" s="38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7"/>
      <c r="B733" s="570"/>
      <c r="C733" s="570"/>
      <c r="D733" s="570"/>
      <c r="E733" s="571" t="s">
        <v>310</v>
      </c>
      <c r="F733" s="570"/>
      <c r="G733" s="189"/>
      <c r="H733" s="182" t="s">
        <v>35</v>
      </c>
      <c r="I733" s="758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"),46)</f>
        <v>46</v>
      </c>
      <c r="K733" s="38"/>
      <c r="L733" s="759"/>
      <c r="M733" s="38"/>
      <c r="N733" s="759"/>
      <c r="O733" s="38"/>
      <c r="P733" s="38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7"/>
      <c r="B734" s="570"/>
      <c r="C734" s="570"/>
      <c r="D734" s="570"/>
      <c r="E734" s="570"/>
      <c r="F734" s="570"/>
      <c r="G734" s="189"/>
      <c r="H734" s="182" t="s">
        <v>34</v>
      </c>
      <c r="I734" s="758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"),60)</f>
        <v>60</v>
      </c>
      <c r="K734" s="38"/>
      <c r="L734" s="759"/>
      <c r="M734" s="38"/>
      <c r="N734" s="759"/>
      <c r="O734" s="38"/>
      <c r="P734" s="38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3"/>
      <c r="B735" s="764" t="s">
        <v>311</v>
      </c>
      <c r="C735" s="727"/>
      <c r="D735" s="727"/>
      <c r="E735" s="727"/>
      <c r="F735" s="727"/>
      <c r="G735" s="728"/>
      <c r="H735" s="422" t="s">
        <v>46</v>
      </c>
      <c r="I735" s="765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"),333)</f>
        <v>333</v>
      </c>
      <c r="K735" s="501"/>
      <c r="L735" s="766"/>
      <c r="M735" s="501"/>
      <c r="N735" s="766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7">
        <v>9</v>
      </c>
      <c r="B736" s="768" t="s">
        <v>312</v>
      </c>
      <c r="C736" s="769"/>
      <c r="D736" s="769"/>
      <c r="E736" s="769"/>
      <c r="F736" s="769"/>
      <c r="G736" s="770"/>
      <c r="H736" s="771" t="s">
        <v>46</v>
      </c>
      <c r="I736" s="772"/>
      <c r="J736" s="772">
        <f>J751</f>
        <v>0</v>
      </c>
      <c r="K736" s="773">
        <f>IF(I736&gt;0,J736*100/I736,0)</f>
        <v>0</v>
      </c>
      <c r="L736" s="774"/>
      <c r="M736" s="774"/>
      <c r="N736" s="774"/>
      <c r="O736" s="774"/>
      <c r="P736" s="774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594"/>
      <c r="C737" s="594" t="s">
        <v>16</v>
      </c>
      <c r="D737" s="1537" t="s">
        <v>17</v>
      </c>
      <c r="E737" s="1533"/>
      <c r="F737" s="1533"/>
      <c r="G737" s="597"/>
      <c r="H737" s="639" t="s">
        <v>12</v>
      </c>
      <c r="I737" s="44"/>
      <c r="J737" s="44"/>
      <c r="K737" s="45"/>
      <c r="L737" s="640">
        <f t="shared" ref="L737:N737" si="333">L738+L739</f>
        <v>0</v>
      </c>
      <c r="M737" s="640">
        <f t="shared" si="333"/>
        <v>0</v>
      </c>
      <c r="N737" s="640">
        <f t="shared" si="333"/>
        <v>0</v>
      </c>
      <c r="O737" s="640">
        <f t="shared" ref="O737:O742" si="334">IF(L737&gt;0,N737*100/L737,0)</f>
        <v>0</v>
      </c>
      <c r="P737" s="640">
        <f t="shared" ref="P737:P742" si="33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594"/>
      <c r="C738" s="594"/>
      <c r="D738" s="595"/>
      <c r="E738" s="596" t="s">
        <v>184</v>
      </c>
      <c r="F738" s="594"/>
      <c r="G738" s="597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599"/>
      <c r="C739" s="594"/>
      <c r="D739" s="595"/>
      <c r="E739" s="596" t="s">
        <v>185</v>
      </c>
      <c r="F739" s="594"/>
      <c r="G739" s="597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599"/>
      <c r="C740" s="594"/>
      <c r="D740" s="775" t="s">
        <v>20</v>
      </c>
      <c r="E740" s="594"/>
      <c r="F740" s="594"/>
      <c r="G740" s="597"/>
      <c r="H740" s="639" t="s">
        <v>12</v>
      </c>
      <c r="I740" s="166"/>
      <c r="J740" s="166"/>
      <c r="K740" s="167"/>
      <c r="L740" s="640">
        <f t="shared" ref="L740:N740" si="338">L741+L742</f>
        <v>0</v>
      </c>
      <c r="M740" s="640">
        <f t="shared" si="338"/>
        <v>0</v>
      </c>
      <c r="N740" s="640">
        <f t="shared" si="338"/>
        <v>0</v>
      </c>
      <c r="O740" s="640">
        <f t="shared" si="334"/>
        <v>0</v>
      </c>
      <c r="P740" s="640">
        <f t="shared" si="33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599"/>
      <c r="C741" s="594"/>
      <c r="D741" s="595"/>
      <c r="E741" s="596" t="s">
        <v>184</v>
      </c>
      <c r="F741" s="594"/>
      <c r="G741" s="597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599"/>
      <c r="C742" s="594"/>
      <c r="D742" s="595"/>
      <c r="E742" s="596" t="s">
        <v>185</v>
      </c>
      <c r="F742" s="594"/>
      <c r="G742" s="597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2"/>
      <c r="B743" s="599"/>
      <c r="C743" s="594"/>
      <c r="D743" s="594"/>
      <c r="E743" s="594"/>
      <c r="F743" s="596" t="s">
        <v>186</v>
      </c>
      <c r="G743" s="597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2"/>
      <c r="B744" s="599"/>
      <c r="C744" s="594"/>
      <c r="D744" s="594"/>
      <c r="E744" s="594"/>
      <c r="F744" s="596" t="s">
        <v>187</v>
      </c>
      <c r="G744" s="597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2"/>
      <c r="B745" s="599"/>
      <c r="C745" s="594"/>
      <c r="D745" s="594"/>
      <c r="E745" s="594"/>
      <c r="F745" s="596" t="s">
        <v>188</v>
      </c>
      <c r="G745" s="597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2"/>
      <c r="B746" s="599"/>
      <c r="C746" s="594"/>
      <c r="D746" s="594"/>
      <c r="E746" s="594"/>
      <c r="F746" s="596" t="s">
        <v>189</v>
      </c>
      <c r="G746" s="597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599"/>
      <c r="C747" s="594"/>
      <c r="D747" s="775" t="s">
        <v>21</v>
      </c>
      <c r="E747" s="594"/>
      <c r="F747" s="594"/>
      <c r="G747" s="597"/>
      <c r="H747" s="776" t="s">
        <v>12</v>
      </c>
      <c r="I747" s="166"/>
      <c r="J747" s="166"/>
      <c r="K747" s="167"/>
      <c r="L747" s="640">
        <f t="shared" ref="L747:N747" si="339">L748+L749</f>
        <v>0</v>
      </c>
      <c r="M747" s="640">
        <f t="shared" si="339"/>
        <v>0</v>
      </c>
      <c r="N747" s="640">
        <f t="shared" si="339"/>
        <v>0</v>
      </c>
      <c r="O747" s="640">
        <f t="shared" ref="O747:O749" si="340">IF(L747&gt;0,N747*100/L747,0)</f>
        <v>0</v>
      </c>
      <c r="P747" s="640">
        <f t="shared" ref="P747:P749" si="34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599"/>
      <c r="C748" s="594"/>
      <c r="D748" s="594"/>
      <c r="E748" s="596" t="s">
        <v>18</v>
      </c>
      <c r="F748" s="594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599"/>
      <c r="C749" s="594"/>
      <c r="D749" s="594"/>
      <c r="E749" s="596" t="s">
        <v>19</v>
      </c>
      <c r="F749" s="594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09"/>
      <c r="C750" s="594" t="s">
        <v>16</v>
      </c>
      <c r="D750" s="777" t="s">
        <v>38</v>
      </c>
      <c r="E750" s="644"/>
      <c r="F750" s="644"/>
      <c r="G750" s="645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2"/>
      <c r="B751" s="599"/>
      <c r="C751" s="594"/>
      <c r="D751" s="594"/>
      <c r="E751" s="596" t="s">
        <v>313</v>
      </c>
      <c r="F751" s="594"/>
      <c r="G751" s="597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2"/>
      <c r="B752" s="599"/>
      <c r="C752" s="594"/>
      <c r="D752" s="594"/>
      <c r="E752" s="594"/>
      <c r="F752" s="594"/>
      <c r="G752" s="597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8">
        <v>10</v>
      </c>
      <c r="B753" s="779" t="s">
        <v>315</v>
      </c>
      <c r="C753" s="780"/>
      <c r="D753" s="780"/>
      <c r="E753" s="780"/>
      <c r="F753" s="780"/>
      <c r="G753" s="781"/>
      <c r="H753" s="782" t="s">
        <v>46</v>
      </c>
      <c r="I753" s="783"/>
      <c r="J753" s="783">
        <f>J768</f>
        <v>0</v>
      </c>
      <c r="K753" s="784">
        <f>IF(I753&gt;0,J753*100/I753,0)</f>
        <v>0</v>
      </c>
      <c r="L753" s="785"/>
      <c r="M753" s="785"/>
      <c r="N753" s="785"/>
      <c r="O753" s="785"/>
      <c r="P753" s="785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594"/>
      <c r="C754" s="594" t="s">
        <v>16</v>
      </c>
      <c r="D754" s="1537" t="s">
        <v>17</v>
      </c>
      <c r="E754" s="1533"/>
      <c r="F754" s="1533"/>
      <c r="G754" s="597"/>
      <c r="H754" s="639" t="s">
        <v>12</v>
      </c>
      <c r="I754" s="44"/>
      <c r="J754" s="44"/>
      <c r="K754" s="45"/>
      <c r="L754" s="640">
        <f t="shared" ref="L754:N754" si="342">L755+L756</f>
        <v>0</v>
      </c>
      <c r="M754" s="640">
        <f t="shared" si="342"/>
        <v>0</v>
      </c>
      <c r="N754" s="640">
        <f t="shared" si="342"/>
        <v>0</v>
      </c>
      <c r="O754" s="640">
        <f t="shared" ref="O754:O759" si="343">IF(L754&gt;0,N754*100/L754,0)</f>
        <v>0</v>
      </c>
      <c r="P754" s="640">
        <f t="shared" ref="P754:P759" si="34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594"/>
      <c r="C755" s="594"/>
      <c r="D755" s="595"/>
      <c r="E755" s="596" t="s">
        <v>184</v>
      </c>
      <c r="F755" s="594"/>
      <c r="G755" s="597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599"/>
      <c r="C756" s="594"/>
      <c r="D756" s="595"/>
      <c r="E756" s="596" t="s">
        <v>185</v>
      </c>
      <c r="F756" s="594"/>
      <c r="G756" s="597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599"/>
      <c r="C757" s="594"/>
      <c r="D757" s="775" t="s">
        <v>20</v>
      </c>
      <c r="E757" s="594"/>
      <c r="F757" s="594"/>
      <c r="G757" s="597"/>
      <c r="H757" s="639" t="s">
        <v>12</v>
      </c>
      <c r="I757" s="166"/>
      <c r="J757" s="166"/>
      <c r="K757" s="167"/>
      <c r="L757" s="640">
        <f t="shared" ref="L757:N757" si="347">L758+L759</f>
        <v>0</v>
      </c>
      <c r="M757" s="640">
        <f t="shared" si="347"/>
        <v>0</v>
      </c>
      <c r="N757" s="640">
        <f t="shared" si="347"/>
        <v>0</v>
      </c>
      <c r="O757" s="640">
        <f t="shared" si="343"/>
        <v>0</v>
      </c>
      <c r="P757" s="640">
        <f t="shared" si="34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599"/>
      <c r="C758" s="594"/>
      <c r="D758" s="595"/>
      <c r="E758" s="596" t="s">
        <v>184</v>
      </c>
      <c r="F758" s="594"/>
      <c r="G758" s="597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599"/>
      <c r="C759" s="594"/>
      <c r="D759" s="595"/>
      <c r="E759" s="596" t="s">
        <v>185</v>
      </c>
      <c r="F759" s="594"/>
      <c r="G759" s="597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2"/>
      <c r="B760" s="599"/>
      <c r="C760" s="594"/>
      <c r="D760" s="594"/>
      <c r="E760" s="594"/>
      <c r="F760" s="596" t="s">
        <v>186</v>
      </c>
      <c r="G760" s="597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2"/>
      <c r="B761" s="599"/>
      <c r="C761" s="594"/>
      <c r="D761" s="594"/>
      <c r="E761" s="594"/>
      <c r="F761" s="596" t="s">
        <v>187</v>
      </c>
      <c r="G761" s="597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2"/>
      <c r="B762" s="599"/>
      <c r="C762" s="594"/>
      <c r="D762" s="594"/>
      <c r="E762" s="594"/>
      <c r="F762" s="596" t="s">
        <v>188</v>
      </c>
      <c r="G762" s="597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2"/>
      <c r="B763" s="599"/>
      <c r="C763" s="594"/>
      <c r="D763" s="594"/>
      <c r="E763" s="594"/>
      <c r="F763" s="596" t="s">
        <v>189</v>
      </c>
      <c r="G763" s="597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599"/>
      <c r="C764" s="594"/>
      <c r="D764" s="775" t="s">
        <v>21</v>
      </c>
      <c r="E764" s="594"/>
      <c r="F764" s="594"/>
      <c r="G764" s="597"/>
      <c r="H764" s="776" t="s">
        <v>12</v>
      </c>
      <c r="I764" s="166"/>
      <c r="J764" s="166"/>
      <c r="K764" s="167"/>
      <c r="L764" s="640">
        <f t="shared" ref="L764:N764" si="348">L765+L766</f>
        <v>0</v>
      </c>
      <c r="M764" s="640">
        <f t="shared" si="348"/>
        <v>0</v>
      </c>
      <c r="N764" s="640">
        <f t="shared" si="348"/>
        <v>0</v>
      </c>
      <c r="O764" s="640">
        <f t="shared" ref="O764:O766" si="349">IF(L764&gt;0,N764*100/L764,0)</f>
        <v>0</v>
      </c>
      <c r="P764" s="640">
        <f t="shared" ref="P764:P766" si="350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599"/>
      <c r="C765" s="594"/>
      <c r="D765" s="594"/>
      <c r="E765" s="596" t="s">
        <v>18</v>
      </c>
      <c r="F765" s="594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599"/>
      <c r="C766" s="594"/>
      <c r="D766" s="594"/>
      <c r="E766" s="596" t="s">
        <v>19</v>
      </c>
      <c r="F766" s="594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09"/>
      <c r="C767" s="594" t="s">
        <v>16</v>
      </c>
      <c r="D767" s="777" t="s">
        <v>38</v>
      </c>
      <c r="E767" s="644"/>
      <c r="F767" s="644"/>
      <c r="G767" s="645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2"/>
      <c r="B768" s="599"/>
      <c r="C768" s="594"/>
      <c r="D768" s="594"/>
      <c r="E768" s="596" t="s">
        <v>316</v>
      </c>
      <c r="F768" s="594"/>
      <c r="G768" s="597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6">
        <v>11</v>
      </c>
      <c r="B769" s="787" t="s">
        <v>317</v>
      </c>
      <c r="C769" s="788"/>
      <c r="D769" s="788"/>
      <c r="E769" s="788"/>
      <c r="F769" s="788"/>
      <c r="G769" s="789"/>
      <c r="H769" s="790" t="s">
        <v>46</v>
      </c>
      <c r="I769" s="791"/>
      <c r="J769" s="791">
        <f>J784</f>
        <v>0</v>
      </c>
      <c r="K769" s="792">
        <f>IF(I769&gt;0,J769*100/I769,0)</f>
        <v>0</v>
      </c>
      <c r="L769" s="793"/>
      <c r="M769" s="793"/>
      <c r="N769" s="793"/>
      <c r="O769" s="793"/>
      <c r="P769" s="793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594"/>
      <c r="C770" s="594" t="s">
        <v>16</v>
      </c>
      <c r="D770" s="1537" t="s">
        <v>17</v>
      </c>
      <c r="E770" s="1533"/>
      <c r="F770" s="1533"/>
      <c r="G770" s="597"/>
      <c r="H770" s="639" t="s">
        <v>12</v>
      </c>
      <c r="I770" s="44"/>
      <c r="J770" s="44"/>
      <c r="K770" s="45"/>
      <c r="L770" s="640">
        <f t="shared" ref="L770:N770" si="351">L771+L772</f>
        <v>0</v>
      </c>
      <c r="M770" s="640">
        <f t="shared" si="351"/>
        <v>0</v>
      </c>
      <c r="N770" s="640">
        <f t="shared" si="351"/>
        <v>0</v>
      </c>
      <c r="O770" s="640">
        <f t="shared" ref="O770:O775" si="352">IF(L770&gt;0,N770*100/L770,0)</f>
        <v>0</v>
      </c>
      <c r="P770" s="640">
        <f t="shared" ref="P770:P775" si="353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594"/>
      <c r="C771" s="594"/>
      <c r="D771" s="595"/>
      <c r="E771" s="596" t="s">
        <v>184</v>
      </c>
      <c r="F771" s="594"/>
      <c r="G771" s="597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599"/>
      <c r="C772" s="594"/>
      <c r="D772" s="595"/>
      <c r="E772" s="596" t="s">
        <v>185</v>
      </c>
      <c r="F772" s="594"/>
      <c r="G772" s="597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599"/>
      <c r="C773" s="594"/>
      <c r="D773" s="775" t="s">
        <v>20</v>
      </c>
      <c r="E773" s="594"/>
      <c r="F773" s="594"/>
      <c r="G773" s="597"/>
      <c r="H773" s="639" t="s">
        <v>12</v>
      </c>
      <c r="I773" s="166"/>
      <c r="J773" s="166"/>
      <c r="K773" s="167"/>
      <c r="L773" s="640">
        <f t="shared" ref="L773:N773" si="356">L774+L775</f>
        <v>0</v>
      </c>
      <c r="M773" s="640">
        <f t="shared" si="356"/>
        <v>0</v>
      </c>
      <c r="N773" s="640">
        <f t="shared" si="356"/>
        <v>0</v>
      </c>
      <c r="O773" s="640">
        <f t="shared" si="352"/>
        <v>0</v>
      </c>
      <c r="P773" s="640">
        <f t="shared" si="353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599"/>
      <c r="C774" s="594"/>
      <c r="D774" s="595"/>
      <c r="E774" s="596" t="s">
        <v>184</v>
      </c>
      <c r="F774" s="594"/>
      <c r="G774" s="597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599"/>
      <c r="C775" s="594"/>
      <c r="D775" s="595"/>
      <c r="E775" s="596" t="s">
        <v>185</v>
      </c>
      <c r="F775" s="594"/>
      <c r="G775" s="597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2"/>
      <c r="B776" s="599"/>
      <c r="C776" s="594"/>
      <c r="D776" s="594"/>
      <c r="E776" s="594"/>
      <c r="F776" s="596" t="s">
        <v>186</v>
      </c>
      <c r="G776" s="597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2"/>
      <c r="B777" s="599"/>
      <c r="C777" s="594"/>
      <c r="D777" s="594"/>
      <c r="E777" s="594"/>
      <c r="F777" s="596" t="s">
        <v>187</v>
      </c>
      <c r="G777" s="597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2"/>
      <c r="B778" s="599"/>
      <c r="C778" s="594"/>
      <c r="D778" s="594"/>
      <c r="E778" s="594"/>
      <c r="F778" s="596" t="s">
        <v>188</v>
      </c>
      <c r="G778" s="597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2"/>
      <c r="B779" s="599"/>
      <c r="C779" s="594"/>
      <c r="D779" s="594"/>
      <c r="E779" s="594"/>
      <c r="F779" s="596" t="s">
        <v>189</v>
      </c>
      <c r="G779" s="597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599"/>
      <c r="C780" s="594"/>
      <c r="D780" s="775" t="s">
        <v>21</v>
      </c>
      <c r="E780" s="594"/>
      <c r="F780" s="594"/>
      <c r="G780" s="597"/>
      <c r="H780" s="776" t="s">
        <v>12</v>
      </c>
      <c r="I780" s="166"/>
      <c r="J780" s="166"/>
      <c r="K780" s="167"/>
      <c r="L780" s="640">
        <f t="shared" ref="L780:N780" si="357">L781+L782</f>
        <v>0</v>
      </c>
      <c r="M780" s="640">
        <f t="shared" si="357"/>
        <v>0</v>
      </c>
      <c r="N780" s="640">
        <f t="shared" si="357"/>
        <v>0</v>
      </c>
      <c r="O780" s="640">
        <f t="shared" ref="O780:O782" si="358">IF(L780&gt;0,N780*100/L780,0)</f>
        <v>0</v>
      </c>
      <c r="P780" s="640">
        <f t="shared" ref="P780:P782" si="359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599"/>
      <c r="C781" s="594"/>
      <c r="D781" s="594"/>
      <c r="E781" s="596" t="s">
        <v>18</v>
      </c>
      <c r="F781" s="594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599"/>
      <c r="C782" s="594"/>
      <c r="D782" s="594"/>
      <c r="E782" s="596" t="s">
        <v>19</v>
      </c>
      <c r="F782" s="594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09"/>
      <c r="C783" s="594" t="s">
        <v>16</v>
      </c>
      <c r="D783" s="777" t="s">
        <v>38</v>
      </c>
      <c r="E783" s="644"/>
      <c r="F783" s="644"/>
      <c r="G783" s="645"/>
      <c r="H783" s="794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2"/>
      <c r="B784" s="599"/>
      <c r="C784" s="594"/>
      <c r="D784" s="594"/>
      <c r="E784" s="596" t="s">
        <v>318</v>
      </c>
      <c r="F784" s="594"/>
      <c r="G784" s="597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>
      <c r="A785" s="795">
        <v>12</v>
      </c>
      <c r="B785" s="796" t="s">
        <v>319</v>
      </c>
      <c r="C785" s="797"/>
      <c r="D785" s="797"/>
      <c r="E785" s="797"/>
      <c r="F785" s="797"/>
      <c r="G785" s="798"/>
      <c r="H785" s="799" t="s">
        <v>46</v>
      </c>
      <c r="I785" s="800">
        <f t="shared" ref="I785:J785" ca="1" si="360">I801+I803</f>
        <v>47000</v>
      </c>
      <c r="J785" s="800">
        <f t="shared" ca="1" si="360"/>
        <v>19827</v>
      </c>
      <c r="K785" s="801">
        <f ca="1">IF(I785&gt;0,J785*100/I785,0)</f>
        <v>42.185106382978724</v>
      </c>
      <c r="L785" s="802"/>
      <c r="M785" s="802"/>
      <c r="N785" s="802"/>
      <c r="O785" s="802"/>
      <c r="P785" s="802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>
      <c r="A786" s="591"/>
      <c r="B786" s="569"/>
      <c r="C786" s="570" t="s">
        <v>16</v>
      </c>
      <c r="D786" s="1532" t="s">
        <v>17</v>
      </c>
      <c r="E786" s="1533"/>
      <c r="F786" s="1533"/>
      <c r="G786" s="189"/>
      <c r="H786" s="803" t="s">
        <v>12</v>
      </c>
      <c r="I786" s="804"/>
      <c r="J786" s="804"/>
      <c r="K786" s="805"/>
      <c r="L786" s="195">
        <f t="shared" ref="L786:N786" ca="1" si="361">L787+L788</f>
        <v>2156480</v>
      </c>
      <c r="M786" s="195">
        <f t="shared" si="361"/>
        <v>0</v>
      </c>
      <c r="N786" s="195">
        <f t="shared" ca="1" si="361"/>
        <v>962989.17</v>
      </c>
      <c r="O786" s="195">
        <f t="shared" ref="O786:O791" ca="1" si="362">IF(L786&gt;0,N786*100/L786,0)</f>
        <v>44.655604039916902</v>
      </c>
      <c r="P786" s="195">
        <f t="shared" ref="P786:P791" si="363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599"/>
      <c r="C787" s="594"/>
      <c r="D787" s="595"/>
      <c r="E787" s="596" t="s">
        <v>184</v>
      </c>
      <c r="F787" s="594"/>
      <c r="G787" s="597"/>
      <c r="H787" s="806" t="s">
        <v>12</v>
      </c>
      <c r="I787" s="804"/>
      <c r="J787" s="804"/>
      <c r="K787" s="80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599"/>
      <c r="C788" s="599"/>
      <c r="D788" s="609"/>
      <c r="E788" s="596" t="s">
        <v>185</v>
      </c>
      <c r="F788" s="594"/>
      <c r="G788" s="597"/>
      <c r="H788" s="806" t="s">
        <v>12</v>
      </c>
      <c r="I788" s="804"/>
      <c r="J788" s="804"/>
      <c r="K788" s="805"/>
      <c r="L788" s="45">
        <f t="shared" ref="L788:N788" ca="1" si="365">L791+L798</f>
        <v>2156480</v>
      </c>
      <c r="M788" s="45">
        <f t="shared" si="365"/>
        <v>0</v>
      </c>
      <c r="N788" s="45">
        <f t="shared" ca="1" si="365"/>
        <v>962989.17</v>
      </c>
      <c r="O788" s="45">
        <f t="shared" ca="1" si="362"/>
        <v>44.655604039916902</v>
      </c>
      <c r="P788" s="45">
        <f t="shared" si="363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>
      <c r="A789" s="591"/>
      <c r="B789" s="569"/>
      <c r="C789" s="569"/>
      <c r="D789" s="600" t="s">
        <v>20</v>
      </c>
      <c r="E789" s="570"/>
      <c r="F789" s="570"/>
      <c r="G789" s="189"/>
      <c r="H789" s="807" t="s">
        <v>12</v>
      </c>
      <c r="I789" s="808"/>
      <c r="J789" s="808"/>
      <c r="K789" s="809"/>
      <c r="L789" s="38">
        <f t="shared" ref="L789:N789" ca="1" si="366">L790+L791</f>
        <v>2156480</v>
      </c>
      <c r="M789" s="38">
        <f t="shared" si="366"/>
        <v>0</v>
      </c>
      <c r="N789" s="38">
        <f t="shared" ca="1" si="366"/>
        <v>962989.17</v>
      </c>
      <c r="O789" s="38">
        <f t="shared" ca="1" si="362"/>
        <v>44.655604039916902</v>
      </c>
      <c r="P789" s="38">
        <f t="shared" si="363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599"/>
      <c r="C790" s="599"/>
      <c r="D790" s="609"/>
      <c r="E790" s="596" t="s">
        <v>184</v>
      </c>
      <c r="F790" s="594"/>
      <c r="G790" s="597"/>
      <c r="H790" s="806" t="s">
        <v>12</v>
      </c>
      <c r="I790" s="804"/>
      <c r="J790" s="804"/>
      <c r="K790" s="80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599"/>
      <c r="C791" s="599"/>
      <c r="D791" s="609"/>
      <c r="E791" s="596" t="s">
        <v>185</v>
      </c>
      <c r="F791" s="594"/>
      <c r="G791" s="597"/>
      <c r="H791" s="806" t="s">
        <v>12</v>
      </c>
      <c r="I791" s="804"/>
      <c r="J791" s="804"/>
      <c r="K791" s="805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v>0</v>
      </c>
      <c r="N791" s="45">
        <f ca="1">N792+N793+N794+N795</f>
        <v>962989.17</v>
      </c>
      <c r="O791" s="45">
        <f t="shared" ca="1" si="362"/>
        <v>44.655604039916902</v>
      </c>
      <c r="P791" s="45">
        <f t="shared" si="363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>
      <c r="A792" s="568"/>
      <c r="B792" s="569"/>
      <c r="C792" s="570"/>
      <c r="D792" s="570"/>
      <c r="E792" s="570"/>
      <c r="F792" s="571" t="s">
        <v>186</v>
      </c>
      <c r="G792" s="189"/>
      <c r="H792" s="807" t="s">
        <v>12</v>
      </c>
      <c r="I792" s="804"/>
      <c r="J792" s="804"/>
      <c r="K792" s="805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>
      <c r="A793" s="568"/>
      <c r="B793" s="569"/>
      <c r="C793" s="570"/>
      <c r="D793" s="570"/>
      <c r="E793" s="570"/>
      <c r="F793" s="571" t="s">
        <v>187</v>
      </c>
      <c r="G793" s="189"/>
      <c r="H793" s="807" t="s">
        <v>12</v>
      </c>
      <c r="I793" s="804"/>
      <c r="J793" s="804"/>
      <c r="K793" s="805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>
      <c r="A794" s="568"/>
      <c r="B794" s="569"/>
      <c r="C794" s="570"/>
      <c r="D794" s="570"/>
      <c r="E794" s="570"/>
      <c r="F794" s="571" t="s">
        <v>188</v>
      </c>
      <c r="G794" s="189"/>
      <c r="H794" s="807" t="s">
        <v>12</v>
      </c>
      <c r="I794" s="804"/>
      <c r="J794" s="804"/>
      <c r="K794" s="805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"),277342.25)</f>
        <v>277342.25</v>
      </c>
      <c r="O794" s="38"/>
      <c r="P794" s="38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>
      <c r="A795" s="568"/>
      <c r="B795" s="569"/>
      <c r="C795" s="570"/>
      <c r="D795" s="570"/>
      <c r="E795" s="570"/>
      <c r="F795" s="571" t="s">
        <v>189</v>
      </c>
      <c r="G795" s="189"/>
      <c r="H795" s="807" t="s">
        <v>12</v>
      </c>
      <c r="I795" s="804"/>
      <c r="J795" s="804"/>
      <c r="K795" s="805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"),643646.92)</f>
        <v>643646.92000000004</v>
      </c>
      <c r="O795" s="38"/>
      <c r="P795" s="38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>
      <c r="A796" s="591"/>
      <c r="B796" s="569"/>
      <c r="C796" s="570"/>
      <c r="D796" s="600" t="s">
        <v>21</v>
      </c>
      <c r="E796" s="570"/>
      <c r="F796" s="570"/>
      <c r="G796" s="189"/>
      <c r="H796" s="810" t="s">
        <v>12</v>
      </c>
      <c r="I796" s="808"/>
      <c r="J796" s="808"/>
      <c r="K796" s="809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599"/>
      <c r="C797" s="594"/>
      <c r="D797" s="594"/>
      <c r="E797" s="596" t="s">
        <v>18</v>
      </c>
      <c r="F797" s="594"/>
      <c r="G797" s="597"/>
      <c r="H797" s="806" t="s">
        <v>12</v>
      </c>
      <c r="I797" s="808"/>
      <c r="J797" s="808"/>
      <c r="K797" s="809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599"/>
      <c r="C798" s="594"/>
      <c r="D798" s="594"/>
      <c r="E798" s="596" t="s">
        <v>19</v>
      </c>
      <c r="F798" s="594"/>
      <c r="G798" s="597"/>
      <c r="H798" s="811" t="s">
        <v>12</v>
      </c>
      <c r="I798" s="808"/>
      <c r="J798" s="808"/>
      <c r="K798" s="809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>
      <c r="A799" s="602"/>
      <c r="B799" s="603"/>
      <c r="C799" s="570" t="s">
        <v>16</v>
      </c>
      <c r="D799" s="753" t="s">
        <v>38</v>
      </c>
      <c r="E799" s="606"/>
      <c r="F799" s="606"/>
      <c r="G799" s="607"/>
      <c r="H799" s="812"/>
      <c r="I799" s="808"/>
      <c r="J799" s="808"/>
      <c r="K799" s="809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>
      <c r="A800" s="602"/>
      <c r="B800" s="603"/>
      <c r="C800" s="603"/>
      <c r="D800" s="603"/>
      <c r="E800" s="613"/>
      <c r="F800" s="187" t="s">
        <v>320</v>
      </c>
      <c r="G800" s="175"/>
      <c r="H800" s="813" t="s">
        <v>34</v>
      </c>
      <c r="I800" s="808"/>
      <c r="J800" s="814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"),617)</f>
        <v>617</v>
      </c>
      <c r="K800" s="805"/>
      <c r="L800" s="38"/>
      <c r="M800" s="38"/>
      <c r="N800" s="38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>
      <c r="A801" s="602"/>
      <c r="B801" s="603"/>
      <c r="C801" s="603"/>
      <c r="D801" s="603"/>
      <c r="E801" s="613"/>
      <c r="F801" s="613"/>
      <c r="G801" s="175"/>
      <c r="H801" s="807" t="s">
        <v>46</v>
      </c>
      <c r="I801" s="814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15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"),8571)</f>
        <v>8571</v>
      </c>
      <c r="K801" s="816">
        <f ca="1">IF(I801&gt;0,J801*100/I801,0)</f>
        <v>26.784375000000001</v>
      </c>
      <c r="L801" s="38"/>
      <c r="M801" s="38"/>
      <c r="N801" s="38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>
      <c r="A802" s="608"/>
      <c r="B802" s="609"/>
      <c r="C802" s="609"/>
      <c r="D802" s="609"/>
      <c r="E802" s="595"/>
      <c r="F802" s="817" t="s">
        <v>321</v>
      </c>
      <c r="G802" s="366"/>
      <c r="H802" s="813" t="s">
        <v>34</v>
      </c>
      <c r="I802" s="808"/>
      <c r="J802" s="814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"),927)</f>
        <v>927</v>
      </c>
      <c r="K802" s="805"/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>
      <c r="A803" s="608"/>
      <c r="B803" s="609"/>
      <c r="C803" s="609"/>
      <c r="D803" s="609"/>
      <c r="E803" s="595"/>
      <c r="F803" s="595"/>
      <c r="G803" s="366"/>
      <c r="H803" s="813" t="s">
        <v>46</v>
      </c>
      <c r="I803" s="814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15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"),11256)</f>
        <v>11256</v>
      </c>
      <c r="K803" s="816">
        <f t="shared" ref="K803:K804" ca="1" si="370">IF(I803&gt;0,J803*100/I803,0)</f>
        <v>75.040000000000006</v>
      </c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6">
        <v>13</v>
      </c>
      <c r="B804" s="787" t="s">
        <v>322</v>
      </c>
      <c r="C804" s="788"/>
      <c r="D804" s="818"/>
      <c r="E804" s="788"/>
      <c r="F804" s="788"/>
      <c r="G804" s="789"/>
      <c r="H804" s="790" t="s">
        <v>46</v>
      </c>
      <c r="I804" s="791"/>
      <c r="J804" s="791">
        <f>J819</f>
        <v>0</v>
      </c>
      <c r="K804" s="792">
        <f t="shared" si="370"/>
        <v>0</v>
      </c>
      <c r="L804" s="793"/>
      <c r="M804" s="793"/>
      <c r="N804" s="793"/>
      <c r="O804" s="793"/>
      <c r="P804" s="793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594"/>
      <c r="C805" s="594" t="s">
        <v>16</v>
      </c>
      <c r="D805" s="1537" t="s">
        <v>17</v>
      </c>
      <c r="E805" s="1533"/>
      <c r="F805" s="1533"/>
      <c r="G805" s="597"/>
      <c r="H805" s="639" t="s">
        <v>12</v>
      </c>
      <c r="I805" s="44"/>
      <c r="J805" s="44"/>
      <c r="K805" s="45"/>
      <c r="L805" s="640">
        <f t="shared" ref="L805:N805" si="371">L806+L807</f>
        <v>0</v>
      </c>
      <c r="M805" s="640">
        <f t="shared" si="371"/>
        <v>0</v>
      </c>
      <c r="N805" s="640">
        <f t="shared" si="371"/>
        <v>0</v>
      </c>
      <c r="O805" s="640">
        <f t="shared" ref="O805:O810" si="372">IF(L805&gt;0,N805*100/L805,0)</f>
        <v>0</v>
      </c>
      <c r="P805" s="640">
        <f t="shared" ref="P805:P810" si="373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594"/>
      <c r="C806" s="594"/>
      <c r="D806" s="609"/>
      <c r="E806" s="596" t="s">
        <v>184</v>
      </c>
      <c r="F806" s="594"/>
      <c r="G806" s="597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594"/>
      <c r="C807" s="594"/>
      <c r="D807" s="609"/>
      <c r="E807" s="596" t="s">
        <v>185</v>
      </c>
      <c r="F807" s="594"/>
      <c r="G807" s="597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599"/>
      <c r="C808" s="594"/>
      <c r="D808" s="1536" t="s">
        <v>20</v>
      </c>
      <c r="E808" s="1533"/>
      <c r="F808" s="1533"/>
      <c r="G808" s="597"/>
      <c r="H808" s="639" t="s">
        <v>12</v>
      </c>
      <c r="I808" s="166"/>
      <c r="J808" s="166"/>
      <c r="K808" s="167"/>
      <c r="L808" s="640">
        <f t="shared" ref="L808:N808" si="376">L809+L810</f>
        <v>0</v>
      </c>
      <c r="M808" s="640">
        <f t="shared" si="376"/>
        <v>0</v>
      </c>
      <c r="N808" s="640">
        <f t="shared" si="376"/>
        <v>0</v>
      </c>
      <c r="O808" s="640">
        <f t="shared" si="372"/>
        <v>0</v>
      </c>
      <c r="P808" s="640">
        <f t="shared" si="373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594"/>
      <c r="C809" s="594"/>
      <c r="D809" s="609"/>
      <c r="E809" s="596" t="s">
        <v>184</v>
      </c>
      <c r="F809" s="594"/>
      <c r="G809" s="597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594"/>
      <c r="C810" s="594"/>
      <c r="D810" s="609"/>
      <c r="E810" s="596" t="s">
        <v>185</v>
      </c>
      <c r="F810" s="594"/>
      <c r="G810" s="597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2"/>
      <c r="B811" s="599"/>
      <c r="C811" s="594"/>
      <c r="D811" s="599"/>
      <c r="E811" s="594"/>
      <c r="F811" s="596" t="s">
        <v>186</v>
      </c>
      <c r="G811" s="597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2"/>
      <c r="B812" s="599"/>
      <c r="C812" s="594"/>
      <c r="D812" s="599"/>
      <c r="E812" s="594"/>
      <c r="F812" s="596" t="s">
        <v>187</v>
      </c>
      <c r="G812" s="597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2"/>
      <c r="B813" s="599"/>
      <c r="C813" s="594"/>
      <c r="D813" s="599"/>
      <c r="E813" s="594"/>
      <c r="F813" s="596" t="s">
        <v>188</v>
      </c>
      <c r="G813" s="597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2"/>
      <c r="B814" s="599"/>
      <c r="C814" s="594"/>
      <c r="D814" s="599"/>
      <c r="E814" s="594"/>
      <c r="F814" s="596" t="s">
        <v>189</v>
      </c>
      <c r="G814" s="597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599"/>
      <c r="C815" s="594"/>
      <c r="D815" s="1536" t="s">
        <v>21</v>
      </c>
      <c r="E815" s="1533"/>
      <c r="F815" s="1533"/>
      <c r="G815" s="597"/>
      <c r="H815" s="776" t="s">
        <v>12</v>
      </c>
      <c r="I815" s="166"/>
      <c r="J815" s="166"/>
      <c r="K815" s="167"/>
      <c r="L815" s="640">
        <f t="shared" ref="L815:N815" si="377">L816+L817</f>
        <v>0</v>
      </c>
      <c r="M815" s="640">
        <f t="shared" si="377"/>
        <v>0</v>
      </c>
      <c r="N815" s="640">
        <f t="shared" si="377"/>
        <v>0</v>
      </c>
      <c r="O815" s="640">
        <f t="shared" ref="O815:O817" si="378">IF(L815&gt;0,N815*100/L815,0)</f>
        <v>0</v>
      </c>
      <c r="P815" s="640">
        <f t="shared" ref="P815:P817" si="379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599"/>
      <c r="C816" s="594"/>
      <c r="D816" s="599"/>
      <c r="E816" s="596" t="s">
        <v>18</v>
      </c>
      <c r="F816" s="594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599"/>
      <c r="C817" s="594"/>
      <c r="D817" s="599"/>
      <c r="E817" s="596" t="s">
        <v>19</v>
      </c>
      <c r="F817" s="594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09"/>
      <c r="C818" s="594" t="s">
        <v>16</v>
      </c>
      <c r="D818" s="819" t="s">
        <v>38</v>
      </c>
      <c r="E818" s="644"/>
      <c r="F818" s="644"/>
      <c r="G818" s="645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8.75" hidden="1">
      <c r="A819" s="820"/>
      <c r="B819" s="821"/>
      <c r="C819" s="822"/>
      <c r="D819" s="821"/>
      <c r="E819" s="823" t="s">
        <v>323</v>
      </c>
      <c r="F819" s="822"/>
      <c r="G819" s="824"/>
      <c r="H819" s="825" t="s">
        <v>46</v>
      </c>
      <c r="I819" s="826"/>
      <c r="J819" s="826"/>
      <c r="K819" s="827"/>
      <c r="L819" s="827"/>
      <c r="M819" s="827"/>
      <c r="N819" s="827"/>
      <c r="O819" s="827"/>
      <c r="P819" s="827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8" t="s">
        <v>324</v>
      </c>
      <c r="B820" s="829"/>
      <c r="C820" s="829"/>
      <c r="D820" s="830"/>
      <c r="E820" s="829"/>
      <c r="F820" s="829"/>
      <c r="G820" s="831"/>
      <c r="H820" s="832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215"/>
      <c r="J820" s="215"/>
      <c r="K820" s="833"/>
      <c r="L820" s="833"/>
      <c r="M820" s="833"/>
      <c r="N820" s="833"/>
      <c r="O820" s="833"/>
      <c r="P820" s="833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7"/>
      <c r="B821" s="571" t="s">
        <v>325</v>
      </c>
      <c r="C821" s="570"/>
      <c r="D821" s="569"/>
      <c r="E821" s="570"/>
      <c r="F821" s="570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"),131461658.519999)</f>
        <v>131461658.519999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"),54826367.4499999)</f>
        <v>54826367.449999899</v>
      </c>
      <c r="K821" s="38">
        <f t="shared" ref="K821:K828" ca="1" si="380">IF(I821&gt;0,J821*100/I821,0)</f>
        <v>41.705215092550553</v>
      </c>
      <c r="L821" s="38"/>
      <c r="M821" s="38"/>
      <c r="N821" s="38"/>
      <c r="O821" s="38"/>
      <c r="P821" s="38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7"/>
      <c r="B822" s="570"/>
      <c r="C822" s="570"/>
      <c r="D822" s="569"/>
      <c r="E822" s="570"/>
      <c r="F822" s="570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"),8531)</f>
        <v>8531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"),3347)</f>
        <v>3347</v>
      </c>
      <c r="K822" s="38">
        <f t="shared" ca="1" si="380"/>
        <v>39.233384128472629</v>
      </c>
      <c r="L822" s="38"/>
      <c r="M822" s="38"/>
      <c r="N822" s="38"/>
      <c r="O822" s="38"/>
      <c r="P822" s="38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7"/>
      <c r="B823" s="571" t="s">
        <v>326</v>
      </c>
      <c r="C823" s="570"/>
      <c r="D823" s="569"/>
      <c r="E823" s="570"/>
      <c r="F823" s="570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"),13478045.67)</f>
        <v>13478045.67</v>
      </c>
      <c r="K823" s="38">
        <f t="shared" ca="1" si="380"/>
        <v>8.7496392843105095</v>
      </c>
      <c r="L823" s="38"/>
      <c r="M823" s="38"/>
      <c r="N823" s="38"/>
      <c r="O823" s="38"/>
      <c r="P823" s="38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7"/>
      <c r="B824" s="570"/>
      <c r="C824" s="570"/>
      <c r="D824" s="569"/>
      <c r="E824" s="570"/>
      <c r="F824" s="570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"),2267)</f>
        <v>2267</v>
      </c>
      <c r="K824" s="38">
        <f t="shared" ca="1" si="380"/>
        <v>31.054794520547944</v>
      </c>
      <c r="L824" s="38"/>
      <c r="M824" s="38"/>
      <c r="N824" s="38"/>
      <c r="O824" s="38"/>
      <c r="P824" s="38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7"/>
      <c r="B825" s="571" t="s">
        <v>327</v>
      </c>
      <c r="C825" s="570"/>
      <c r="D825" s="569"/>
      <c r="E825" s="570"/>
      <c r="F825" s="570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"),9852771.58999999)</f>
        <v>9852771.5899999905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"),4297639.2)</f>
        <v>4297639.2</v>
      </c>
      <c r="K825" s="38">
        <f t="shared" ca="1" si="380"/>
        <v>43.618581439174562</v>
      </c>
      <c r="L825" s="38"/>
      <c r="M825" s="38"/>
      <c r="N825" s="38"/>
      <c r="O825" s="38"/>
      <c r="P825" s="38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7"/>
      <c r="B826" s="570"/>
      <c r="C826" s="570"/>
      <c r="D826" s="569"/>
      <c r="E826" s="570"/>
      <c r="F826" s="570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"),1208)</f>
        <v>1208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"),712)</f>
        <v>712</v>
      </c>
      <c r="K826" s="38">
        <f t="shared" ca="1" si="380"/>
        <v>58.940397350993379</v>
      </c>
      <c r="L826" s="38"/>
      <c r="M826" s="38"/>
      <c r="N826" s="38"/>
      <c r="O826" s="38"/>
      <c r="P826" s="38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7"/>
      <c r="B827" s="571" t="s">
        <v>328</v>
      </c>
      <c r="C827" s="570"/>
      <c r="D827" s="569"/>
      <c r="E827" s="570"/>
      <c r="F827" s="570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"),55700000)</f>
        <v>55700000</v>
      </c>
      <c r="K827" s="38">
        <f t="shared" ca="1" si="380"/>
        <v>39.197748064743138</v>
      </c>
      <c r="L827" s="38"/>
      <c r="M827" s="38"/>
      <c r="N827" s="38"/>
      <c r="O827" s="38"/>
      <c r="P827" s="38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0"/>
      <c r="B828" s="742"/>
      <c r="C828" s="742"/>
      <c r="D828" s="741"/>
      <c r="E828" s="742"/>
      <c r="F828" s="742"/>
      <c r="G828" s="834"/>
      <c r="H828" s="835" t="s">
        <v>35</v>
      </c>
      <c r="I828" s="500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0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"),1476)</f>
        <v>1476</v>
      </c>
      <c r="K828" s="501">
        <f t="shared" ca="1" si="380"/>
        <v>28.51072049449488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6C82-74C3-4948-9E2E-99E91E9122A9}">
  <sheetPr>
    <outlinePr summaryBelow="0" summaryRight="0"/>
    <pageSetUpPr fitToPage="1"/>
  </sheetPr>
  <dimension ref="A1:Z828"/>
  <sheetViews>
    <sheetView view="pageBreakPreview" topLeftCell="B1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330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6481547</v>
      </c>
      <c r="M8" s="850">
        <f t="shared" ca="1" si="0"/>
        <v>2920877.48</v>
      </c>
      <c r="N8" s="850">
        <f t="shared" ca="1" si="0"/>
        <v>2587604.2000000002</v>
      </c>
      <c r="O8" s="850">
        <f t="shared" ref="O8:O16" ca="1" si="1">IF(L8&gt;0,N8*100/L8,0)</f>
        <v>39.922632667787497</v>
      </c>
      <c r="P8" s="850">
        <f t="shared" ref="P8:P16" ca="1" si="2">IF(M8&gt;0,N8*100/M8,0)</f>
        <v>88.589960301929551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6481547</v>
      </c>
      <c r="M10" s="857">
        <f t="shared" ca="1" si="3"/>
        <v>2920877.48</v>
      </c>
      <c r="N10" s="857">
        <f t="shared" ca="1" si="3"/>
        <v>2587604.2000000002</v>
      </c>
      <c r="O10" s="857">
        <f t="shared" ca="1" si="1"/>
        <v>39.922632667787497</v>
      </c>
      <c r="P10" s="857">
        <f t="shared" ca="1" si="2"/>
        <v>88.589960301929551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6397747</v>
      </c>
      <c r="M11" s="864">
        <f t="shared" ca="1" si="4"/>
        <v>2837077.48</v>
      </c>
      <c r="N11" s="864">
        <f t="shared" ca="1" si="4"/>
        <v>2503804.2000000002</v>
      </c>
      <c r="O11" s="864">
        <f t="shared" ca="1" si="1"/>
        <v>39.135717620593631</v>
      </c>
      <c r="P11" s="864">
        <f t="shared" ca="1" si="2"/>
        <v>88.252936962440671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6397747</v>
      </c>
      <c r="M13" s="870">
        <f t="shared" ca="1" si="5"/>
        <v>2837077.48</v>
      </c>
      <c r="N13" s="870">
        <f t="shared" ca="1" si="5"/>
        <v>2503804.2000000002</v>
      </c>
      <c r="O13" s="870">
        <f t="shared" ca="1" si="1"/>
        <v>39.135717620593631</v>
      </c>
      <c r="P13" s="870">
        <f t="shared" ca="1" si="2"/>
        <v>88.252936962440671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83800</v>
      </c>
      <c r="M14" s="864">
        <f t="shared" ca="1" si="6"/>
        <v>83800</v>
      </c>
      <c r="N14" s="864">
        <f t="shared" ca="1" si="6"/>
        <v>83800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83800</v>
      </c>
      <c r="M16" s="876">
        <f t="shared" ca="1" si="7"/>
        <v>83800</v>
      </c>
      <c r="N16" s="876">
        <f t="shared" ca="1" si="7"/>
        <v>83800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3619460</v>
      </c>
      <c r="M18" s="850">
        <f t="shared" ca="1" si="8"/>
        <v>2920877.48</v>
      </c>
      <c r="N18" s="850">
        <f t="shared" ca="1" si="8"/>
        <v>1811766.62</v>
      </c>
      <c r="O18" s="850">
        <f t="shared" ref="O18:O26" ca="1" si="9">IF(L18&gt;0,N18*100/L18,0)</f>
        <v>50.056268614655224</v>
      </c>
      <c r="P18" s="850">
        <f t="shared" ref="P18:P26" ca="1" si="10">IF(M18&gt;0,N18*100/M18,0)</f>
        <v>62.028162167212848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3619460</v>
      </c>
      <c r="M20" s="857">
        <f t="shared" ca="1" si="11"/>
        <v>2920877.48</v>
      </c>
      <c r="N20" s="857">
        <f t="shared" ca="1" si="11"/>
        <v>1811766.62</v>
      </c>
      <c r="O20" s="857">
        <f t="shared" ca="1" si="9"/>
        <v>50.056268614655224</v>
      </c>
      <c r="P20" s="857">
        <f t="shared" ca="1" si="10"/>
        <v>62.028162167212848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3535660</v>
      </c>
      <c r="M21" s="864">
        <f t="shared" ca="1" si="12"/>
        <v>2837077.48</v>
      </c>
      <c r="N21" s="864">
        <f t="shared" ca="1" si="12"/>
        <v>1727966.62</v>
      </c>
      <c r="O21" s="864">
        <f t="shared" ca="1" si="9"/>
        <v>48.872533558090993</v>
      </c>
      <c r="P21" s="864">
        <f t="shared" ca="1" si="10"/>
        <v>60.906571363711926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3535660</v>
      </c>
      <c r="M23" s="870">
        <f t="shared" ca="1" si="13"/>
        <v>2837077.48</v>
      </c>
      <c r="N23" s="870">
        <f t="shared" ca="1" si="13"/>
        <v>1727966.62</v>
      </c>
      <c r="O23" s="870">
        <f t="shared" ca="1" si="9"/>
        <v>48.872533558090993</v>
      </c>
      <c r="P23" s="870">
        <f t="shared" ca="1" si="10"/>
        <v>60.906571363711926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83800</v>
      </c>
      <c r="M24" s="864">
        <f t="shared" ca="1" si="14"/>
        <v>83800</v>
      </c>
      <c r="N24" s="864">
        <f t="shared" ca="1" si="14"/>
        <v>83800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83800</v>
      </c>
      <c r="M26" s="876">
        <f t="shared" ca="1" si="15"/>
        <v>83800</v>
      </c>
      <c r="N26" s="876">
        <f t="shared" ca="1" si="15"/>
        <v>83800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2862087</v>
      </c>
      <c r="M28" s="850">
        <f t="shared" si="16"/>
        <v>0</v>
      </c>
      <c r="N28" s="850">
        <f t="shared" si="16"/>
        <v>775837.58</v>
      </c>
      <c r="O28" s="850">
        <f t="shared" ref="O28:O37" ca="1" si="17">IF(L28&gt;0,N28*100/L28,0)</f>
        <v>27.107407287060106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2862087</v>
      </c>
      <c r="M30" s="857">
        <f t="shared" si="19"/>
        <v>0</v>
      </c>
      <c r="N30" s="857">
        <f t="shared" si="19"/>
        <v>775837.58</v>
      </c>
      <c r="O30" s="857">
        <f t="shared" ca="1" si="17"/>
        <v>27.107407287060106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2862087</v>
      </c>
      <c r="M31" s="864">
        <f t="shared" si="20"/>
        <v>0</v>
      </c>
      <c r="N31" s="864">
        <f t="shared" si="20"/>
        <v>775837.58</v>
      </c>
      <c r="O31" s="864">
        <f t="shared" ca="1" si="17"/>
        <v>27.107407287060106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2862087</v>
      </c>
      <c r="M33" s="870">
        <f t="shared" si="21"/>
        <v>0</v>
      </c>
      <c r="N33" s="870">
        <f t="shared" si="21"/>
        <v>775837.58</v>
      </c>
      <c r="O33" s="870">
        <f t="shared" ca="1" si="17"/>
        <v>27.107407287060106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3619460</v>
      </c>
      <c r="M37" s="883">
        <f t="shared" ca="1" si="24"/>
        <v>2920877.48</v>
      </c>
      <c r="N37" s="883">
        <f t="shared" ca="1" si="24"/>
        <v>1811766.62</v>
      </c>
      <c r="O37" s="883">
        <f t="shared" ca="1" si="17"/>
        <v>50.056268614655224</v>
      </c>
      <c r="P37" s="883">
        <f t="shared" ca="1" si="18"/>
        <v>62.028162167212848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746550</v>
      </c>
      <c r="M41" s="908">
        <f t="shared" ca="1" si="25"/>
        <v>754692.48</v>
      </c>
      <c r="N41" s="908">
        <f t="shared" ca="1" si="25"/>
        <v>404234.41</v>
      </c>
      <c r="O41" s="908">
        <f t="shared" ref="O41:O49" ca="1" si="26">IF(L41&gt;0,N41*100/L41,0)</f>
        <v>54.146997521934232</v>
      </c>
      <c r="P41" s="908">
        <f t="shared" ref="P41:P49" ca="1" si="27">IF(M41&gt;0,N41*100/M41,0)</f>
        <v>53.562798187680364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746550</v>
      </c>
      <c r="M43" s="914">
        <f t="shared" ca="1" si="28"/>
        <v>754692.48</v>
      </c>
      <c r="N43" s="914">
        <f t="shared" ca="1" si="28"/>
        <v>404234.41</v>
      </c>
      <c r="O43" s="914">
        <f t="shared" ca="1" si="26"/>
        <v>54.146997521934232</v>
      </c>
      <c r="P43" s="914">
        <f t="shared" ca="1" si="27"/>
        <v>53.562798187680364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746550</v>
      </c>
      <c r="M44" s="864">
        <f t="shared" ca="1" si="29"/>
        <v>754692.48</v>
      </c>
      <c r="N44" s="864">
        <f t="shared" ca="1" si="29"/>
        <v>404234.41</v>
      </c>
      <c r="O44" s="864">
        <f t="shared" ca="1" si="26"/>
        <v>54.146997521934232</v>
      </c>
      <c r="P44" s="864">
        <f t="shared" ca="1" si="27"/>
        <v>53.562798187680364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IFERROR(__xludf.DUMMYFUNCTION("IMPORTRANGE(""https://docs.google.com/spreadsheets/d/1MeEWN-I1oV_STSDYn1IFDPWt_1FKiwhDph83XaGc0o0/edit?usp=sharing"",""งบพรบ!M32"")"),746550)</f>
        <v>746550</v>
      </c>
      <c r="M46" s="870">
        <f ca="1">IFERROR(__xludf.DUMMYFUNCTION("IMPORTRANGE(""https://docs.google.com/spreadsheets/d/1MeEWN-I1oV_STSDYn1IFDPWt_1FKiwhDph83XaGc0o0/edit?usp=sharing"",""งบพรบ!R32"")"),754692.48)</f>
        <v>754692.48</v>
      </c>
      <c r="N46" s="870">
        <f ca="1">IFERROR(__xludf.DUMMYFUNCTION("IMPORTRANGE(""https://docs.google.com/spreadsheets/d/1MeEWN-I1oV_STSDYn1IFDPWt_1FKiwhDph83XaGc0o0/edit?usp=sharing"",""งบพรบ!T32"")"),404234.41)</f>
        <v>404234.41</v>
      </c>
      <c r="O46" s="870">
        <f t="shared" ca="1" si="26"/>
        <v>54.146997521934232</v>
      </c>
      <c r="P46" s="870">
        <f t="shared" ca="1" si="27"/>
        <v>53.562798187680364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IFERROR(__xludf.DUMMYFUNCTION("IMPORTRANGE(""https://docs.google.com/spreadsheets/d/1MeEWN-I1oV_STSDYn1IFDPWt_1FKiwhDph83XaGc0o0/edit?usp=sharing"",""งบพรบ!P32"")"),0)</f>
        <v>0</v>
      </c>
      <c r="M49" s="876">
        <f ca="1">IFERROR(__xludf.DUMMYFUNCTION("IMPORTRANGE(""https://docs.google.com/spreadsheets/d/1MeEWN-I1oV_STSDYn1IFDPWt_1FKiwhDph83XaGc0o0/edit?usp=sharing"",""งบพรบ!S32"")"),0)</f>
        <v>0</v>
      </c>
      <c r="N49" s="876">
        <f ca="1">IFERROR(__xludf.DUMMYFUNCTION("IMPORTRANGE(""https://docs.google.com/spreadsheets/d/1MeEWN-I1oV_STSDYn1IFDPWt_1FKiwhDph83XaGc0o0/edit?usp=sharing"",""งบพรบ!U32"")"),0)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759500</v>
      </c>
      <c r="M53" s="936">
        <f t="shared" ca="1" si="31"/>
        <v>569625</v>
      </c>
      <c r="N53" s="936">
        <f t="shared" ca="1" si="31"/>
        <v>440357.65</v>
      </c>
      <c r="O53" s="936">
        <f t="shared" ref="O53:O61" ca="1" si="32">IF(L53&gt;0,N53*100/L53,0)</f>
        <v>57.979940750493746</v>
      </c>
      <c r="P53" s="936">
        <f t="shared" ref="P53:P61" ca="1" si="33">IF(M53&gt;0,N53*100/M53,0)</f>
        <v>77.30658766732499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759500</v>
      </c>
      <c r="M55" s="942">
        <f t="shared" ca="1" si="34"/>
        <v>569625</v>
      </c>
      <c r="N55" s="942">
        <f t="shared" ca="1" si="34"/>
        <v>440357.65</v>
      </c>
      <c r="O55" s="942">
        <f t="shared" ca="1" si="32"/>
        <v>57.979940750493746</v>
      </c>
      <c r="P55" s="942">
        <f t="shared" ca="1" si="33"/>
        <v>77.30658766732499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759500</v>
      </c>
      <c r="M56" s="864">
        <f t="shared" ca="1" si="35"/>
        <v>569625</v>
      </c>
      <c r="N56" s="864">
        <f t="shared" ca="1" si="35"/>
        <v>440357.65</v>
      </c>
      <c r="O56" s="864">
        <f t="shared" ca="1" si="32"/>
        <v>57.979940750493746</v>
      </c>
      <c r="P56" s="864">
        <f t="shared" ca="1" si="33"/>
        <v>77.30658766732499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IFERROR(__xludf.DUMMYFUNCTION("IMPORTRANGE(""https://docs.google.com/spreadsheets/d/1MeEWN-I1oV_STSDYn1IFDPWt_1FKiwhDph83XaGc0o0/edit?usp=sharing"",""งบพรบ!W32"")"),759500)</f>
        <v>759500</v>
      </c>
      <c r="M58" s="870">
        <f ca="1">IFERROR(__xludf.DUMMYFUNCTION("IMPORTRANGE(""https://docs.google.com/spreadsheets/d/1MeEWN-I1oV_STSDYn1IFDPWt_1FKiwhDph83XaGc0o0/edit?usp=sharing"",""งบพรบ!AB32"")"),569625)</f>
        <v>569625</v>
      </c>
      <c r="N58" s="870">
        <f ca="1">IFERROR(__xludf.DUMMYFUNCTION("IMPORTRANGE(""https://docs.google.com/spreadsheets/d/1MeEWN-I1oV_STSDYn1IFDPWt_1FKiwhDph83XaGc0o0/edit?usp=sharing"",""งบพรบ!AD32"")"),440357.65)</f>
        <v>440357.65</v>
      </c>
      <c r="O58" s="870">
        <f t="shared" ca="1" si="32"/>
        <v>57.979940750493746</v>
      </c>
      <c r="P58" s="870">
        <f t="shared" ca="1" si="33"/>
        <v>77.30658766732499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IFERROR(__xludf.DUMMYFUNCTION("IMPORTRANGE(""https://docs.google.com/spreadsheets/d/1MeEWN-I1oV_STSDYn1IFDPWt_1FKiwhDph83XaGc0o0/edit?usp=sharing"",""งบพรบ!Z32"")"),0)</f>
        <v>0</v>
      </c>
      <c r="M61" s="876">
        <f ca="1">IFERROR(__xludf.DUMMYFUNCTION("IMPORTRANGE(""https://docs.google.com/spreadsheets/d/1MeEWN-I1oV_STSDYn1IFDPWt_1FKiwhDph83XaGc0o0/edit?usp=sharing"",""งบพรบ!AC32"")"),0)</f>
        <v>0</v>
      </c>
      <c r="N61" s="876">
        <f ca="1">IFERROR(__xludf.DUMMYFUNCTION("IMPORTRANGE(""https://docs.google.com/spreadsheets/d/1MeEWN-I1oV_STSDYn1IFDPWt_1FKiwhDph83XaGc0o0/edit?usp=sharing"",""งบพรบ!AE32"")"),0)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IFERROR(__xludf.DUMMYFUNCTION("IMPORTRANGE(""https://docs.google.com/spreadsheets/d/1MeEWN-I1oV_STSDYn1IFDPWt_1FKiwhDph83XaGc0o0/edit?usp=sharing"",""งบพรบ!AG32"")"),0)</f>
        <v>0</v>
      </c>
      <c r="M71" s="870">
        <f ca="1">IFERROR(__xludf.DUMMYFUNCTION("IMPORTRANGE(""https://docs.google.com/spreadsheets/d/1MeEWN-I1oV_STSDYn1IFDPWt_1FKiwhDph83XaGc0o0/edit?usp=sharing"",""งบพรบ!AL32"")"),0)</f>
        <v>0</v>
      </c>
      <c r="N71" s="870">
        <f ca="1">IFERROR(__xludf.DUMMYFUNCTION("IMPORTRANGE(""https://docs.google.com/spreadsheets/d/1MeEWN-I1oV_STSDYn1IFDPWt_1FKiwhDph83XaGc0o0/edit?usp=sharing"",""งบพรบ!AN32"")"),0)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IFERROR(__xludf.DUMMYFUNCTION("IMPORTRANGE(""https://docs.google.com/spreadsheets/d/1MeEWN-I1oV_STSDYn1IFDPWt_1FKiwhDph83XaGc0o0/edit?usp=sharing"",""งบพรบ!AJ32"")"),0)</f>
        <v>0</v>
      </c>
      <c r="M74" s="870">
        <f ca="1">IFERROR(__xludf.DUMMYFUNCTION("IMPORTRANGE(""https://docs.google.com/spreadsheets/d/1MeEWN-I1oV_STSDYn1IFDPWt_1FKiwhDph83XaGc0o0/edit?usp=sharing"",""งบพรบ!AM32"")"),0)</f>
        <v>0</v>
      </c>
      <c r="N74" s="870">
        <f ca="1">IFERROR(__xludf.DUMMYFUNCTION("IMPORTRANGE(""https://docs.google.com/spreadsheets/d/1MeEWN-I1oV_STSDYn1IFDPWt_1FKiwhDph83XaGc0o0/edit?usp=sharing"",""งบพรบ!AO32"")"),0)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IFERROR(__xludf.DUMMYFUNCTION("IMPORTRANGE(""https://docs.google.com/spreadsheets/d/1QqKyyYR6Q21VydFLVH3TRQUabQu_ym0Zz7PgGX0-kHA/edit?usp=sharing"",""แผน!H32"")"),0)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IFERROR(__xludf.DUMMYFUNCTION("IMPORTRANGE(""https://docs.google.com/spreadsheets/d/1QqKyyYR6Q21VydFLVH3TRQUabQu_ym0Zz7PgGX0-kHA/edit?usp=sharing"",""แผน!I32"")"),0)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IFERROR(__xludf.DUMMYFUNCTION("IMPORTRANGE(""https://docs.google.com/spreadsheets/d/1QqKyyYR6Q21VydFLVH3TRQUabQu_ym0Zz7PgGX0-kHA/edit?usp=sharing"",""แผน!F32"")"),0)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IFERROR(__xludf.DUMMYFUNCTION("IMPORTRANGE(""https://docs.google.com/spreadsheets/d/1QqKyyYR6Q21VydFLVH3TRQUabQu_ym0Zz7PgGX0-kHA/edit?usp=sharing"",""แผน!G32"")"),0)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IFERROR(__xludf.DUMMYFUNCTION("IMPORTRANGE(""https://docs.google.com/spreadsheets/d/1QqKyyYR6Q21VydFLVH3TRQUabQu_ym0Zz7PgGX0-kHA/edit?usp=sharing"",""แผน!D32"")"),0)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IFERROR(__xludf.DUMMYFUNCTION("IMPORTRANGE(""https://docs.google.com/spreadsheets/d/1QqKyyYR6Q21VydFLVH3TRQUabQu_ym0Zz7PgGX0-kHA/edit?usp=sharing"",""แผน!E32"")"),0)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IFERROR(__xludf.DUMMYFUNCTION("IMPORTRANGE(""https://docs.google.com/spreadsheets/d/1QqKyyYR6Q21VydFLVH3TRQUabQu_ym0Zz7PgGX0-kHA/edit?usp=sharing"",""แผน!J32"")"),0)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30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10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56040</v>
      </c>
      <c r="M88" s="972">
        <f t="shared" ca="1" si="49"/>
        <v>51190</v>
      </c>
      <c r="N88" s="972">
        <f t="shared" ca="1" si="49"/>
        <v>30770.3</v>
      </c>
      <c r="O88" s="972">
        <f t="shared" ref="O88:O96" ca="1" si="50">IF(L88&gt;0,N88*100/L88,0)</f>
        <v>54.90774446823697</v>
      </c>
      <c r="P88" s="972">
        <f t="shared" ref="P88:P96" ca="1" si="51">IF(M88&gt;0,N88*100/M88,0)</f>
        <v>60.109982418441099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56040</v>
      </c>
      <c r="M90" s="870">
        <f t="shared" ca="1" si="52"/>
        <v>51190</v>
      </c>
      <c r="N90" s="870">
        <f t="shared" ca="1" si="52"/>
        <v>30770.3</v>
      </c>
      <c r="O90" s="870">
        <f t="shared" ca="1" si="50"/>
        <v>54.90774446823697</v>
      </c>
      <c r="P90" s="870">
        <f t="shared" ca="1" si="51"/>
        <v>60.109982418441099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56040</v>
      </c>
      <c r="M91" s="864">
        <f t="shared" ca="1" si="53"/>
        <v>51190</v>
      </c>
      <c r="N91" s="864">
        <f t="shared" ca="1" si="53"/>
        <v>30770.3</v>
      </c>
      <c r="O91" s="864">
        <f t="shared" ca="1" si="50"/>
        <v>54.90774446823697</v>
      </c>
      <c r="P91" s="864">
        <f t="shared" ca="1" si="51"/>
        <v>60.109982418441099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IFERROR(__xludf.DUMMYFUNCTION("IMPORTRANGE(""https://docs.google.com/spreadsheets/d/1MeEWN-I1oV_STSDYn1IFDPWt_1FKiwhDph83XaGc0o0/edit?usp=sharing"",""งบพรบ!AQ32"")"),56040)</f>
        <v>56040</v>
      </c>
      <c r="M93" s="870">
        <f ca="1">IFERROR(__xludf.DUMMYFUNCTION("IMPORTRANGE(""https://docs.google.com/spreadsheets/d/1MeEWN-I1oV_STSDYn1IFDPWt_1FKiwhDph83XaGc0o0/edit?usp=sharing"",""งบพรบ!AV32"")"),51190)</f>
        <v>51190</v>
      </c>
      <c r="N93" s="870">
        <f ca="1">IFERROR(__xludf.DUMMYFUNCTION("IMPORTRANGE(""https://docs.google.com/spreadsheets/d/1MeEWN-I1oV_STSDYn1IFDPWt_1FKiwhDph83XaGc0o0/edit?usp=sharing"",""งบพรบ!AX32"")"),30770.3)</f>
        <v>30770.3</v>
      </c>
      <c r="O93" s="870">
        <f t="shared" ca="1" si="50"/>
        <v>54.90774446823697</v>
      </c>
      <c r="P93" s="870">
        <f t="shared" ca="1" si="51"/>
        <v>60.109982418441099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IFERROR(__xludf.DUMMYFUNCTION("IMPORTRANGE(""https://docs.google.com/spreadsheets/d/1MeEWN-I1oV_STSDYn1IFDPWt_1FKiwhDph83XaGc0o0/edit?usp=sharing"",""งบพรบ!AT32"")"),0)</f>
        <v>0</v>
      </c>
      <c r="M96" s="870">
        <f ca="1">IFERROR(__xludf.DUMMYFUNCTION("IMPORTRANGE(""https://docs.google.com/spreadsheets/d/1MeEWN-I1oV_STSDYn1IFDPWt_1FKiwhDph83XaGc0o0/edit?usp=sharing"",""งบพรบ!AW32"")"),0)</f>
        <v>0</v>
      </c>
      <c r="N96" s="870">
        <f ca="1">IFERROR(__xludf.DUMMYFUNCTION("IMPORTRANGE(""https://docs.google.com/spreadsheets/d/1MeEWN-I1oV_STSDYn1IFDPWt_1FKiwhDph83XaGc0o0/edit?usp=sharing"",""งบพรบ!AY32"")"),0)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IFERROR(__xludf.DUMMYFUNCTION("IMPORTRANGE(""https://docs.google.com/spreadsheets/d/1QqKyyYR6Q21VydFLVH3TRQUabQu_ym0Zz7PgGX0-kHA/edit?usp=sharing"",""แผน!K32"")"),30)</f>
        <v>30</v>
      </c>
      <c r="J98" s="863">
        <f>J102</f>
        <v>30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IFERROR(__xludf.DUMMYFUNCTION("IMPORTRANGE(""https://docs.google.com/spreadsheets/d/1QqKyyYR6Q21VydFLVH3TRQUabQu_ym0Zz7PgGX0-kHA/edit?usp=sharing"",""แผน!L32"")"),10)</f>
        <v>10</v>
      </c>
      <c r="J99" s="863">
        <f>J104</f>
        <v>10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IFERROR(__xludf.DUMMYFUNCTION("IMPORTRANGE(""https://docs.google.com/spreadsheets/d/1QqKyyYR6Q21VydFLVH3TRQUabQu_ym0Zz7PgGX0-kHA/edit?usp=sharing"",""แผน!M32"")"),1)</f>
        <v>1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IFERROR(__xludf.DUMMYFUNCTION("IMPORTRANGE(""https://docs.google.com/spreadsheets/d/1QqKyyYR6Q21VydFLVH3TRQUabQu_ym0Zz7PgGX0-kHA/edit?usp=sharing"",""แผน!N32"")"),30)</f>
        <v>30</v>
      </c>
      <c r="J102" s="992">
        <v>30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IFERROR(__xludf.DUMMYFUNCTION("IMPORTRANGE(""https://docs.google.com/spreadsheets/d/1QqKyyYR6Q21VydFLVH3TRQUabQu_ym0Zz7PgGX0-kHA/edit?usp=sharing"",""แผน!O32"")"),10)</f>
        <v>10</v>
      </c>
      <c r="J103" s="992">
        <v>10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IFERROR(__xludf.DUMMYFUNCTION("IMPORTRANGE(""https://docs.google.com/spreadsheets/d/1QqKyyYR6Q21VydFLVH3TRQUabQu_ym0Zz7PgGX0-kHA/edit?usp=sharing"",""แผน!O32"")"),10)</f>
        <v>10</v>
      </c>
      <c r="J104" s="992">
        <v>10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IFERROR(__xludf.DUMMYFUNCTION("IMPORTRANGE(""https://docs.google.com/spreadsheets/d/1QqKyyYR6Q21VydFLVH3TRQUabQu_ym0Zz7PgGX0-kHA/edit?usp=sharing"",""แผน!P32"")"),1)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IFERROR(__xludf.DUMMYFUNCTION("IMPORTRANGE(""https://docs.google.com/spreadsheets/d/1QqKyyYR6Q21VydFLVH3TRQUabQu_ym0Zz7PgGX0-kHA/edit?usp=sharing"",""แผน!P32"")"),1)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IFERROR(__xludf.DUMMYFUNCTION("IMPORTRANGE(""https://docs.google.com/spreadsheets/d/1QqKyyYR6Q21VydFLVH3TRQUabQu_ym0Zz7PgGX0-kHA/edit?usp=sharing"",""แผน!Q32"")"),0)</f>
        <v>0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IFERROR(__xludf.DUMMYFUNCTION("IMPORTRANGE(""https://docs.google.com/spreadsheets/d/1QqKyyYR6Q21VydFLVH3TRQUabQu_ym0Zz7PgGX0-kHA/edit?usp=sharing"",""แผน!Q32"")"),0)</f>
        <v>0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IFERROR(__xludf.DUMMYFUNCTION("IMPORTRANGE(""https://docs.google.com/spreadsheets/d/1QqKyyYR6Q21VydFLVH3TRQUabQu_ym0Zz7PgGX0-kHA/edit?usp=sharing"",""แผน!R32"")"),10)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1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IFERROR(__xludf.DUMMYFUNCTION("IMPORTRANGE(""https://docs.google.com/spreadsheets/d/1QqKyyYR6Q21VydFLVH3TRQUabQu_ym0Zz7PgGX0-kHA/edit?usp=sharing"",""แผน!R32"")"),10)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IFERROR(__xludf.DUMMYFUNCTION("IMPORTRANGE(""https://docs.google.com/spreadsheets/d/1QqKyyYR6Q21VydFLVH3TRQUabQu_ym0Zz7PgGX0-kHA/edit?usp=sharing"",""แผน!R32"")"),10)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IFERROR(__xludf.DUMMYFUNCTION("IMPORTRANGE(""https://docs.google.com/spreadsheets/d/1QqKyyYR6Q21VydFLVH3TRQUabQu_ym0Zz7PgGX0-kHA/edit?usp=sharing"",""แผน!S32"")"),1)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IFERROR(__xludf.DUMMYFUNCTION("IMPORTRANGE(""https://docs.google.com/spreadsheets/d/1QqKyyYR6Q21VydFLVH3TRQUabQu_ym0Zz7PgGX0-kHA/edit?usp=sharing"",""แผน!T32"")"),0)</f>
        <v>0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IFERROR(__xludf.DUMMYFUNCTION("IMPORTRANGE(""https://docs.google.com/spreadsheets/d/1MeEWN-I1oV_STSDYn1IFDPWt_1FKiwhDph83XaGc0o0/edit?usp=sharing"",""งบพรบ!BA32"")"),0)</f>
        <v>0</v>
      </c>
      <c r="M124" s="870">
        <f ca="1">IFERROR(__xludf.DUMMYFUNCTION("IMPORTRANGE(""https://docs.google.com/spreadsheets/d/1MeEWN-I1oV_STSDYn1IFDPWt_1FKiwhDph83XaGc0o0/edit?usp=sharing"",""งบพรบ!BF32"")"),0)</f>
        <v>0</v>
      </c>
      <c r="N124" s="870">
        <f ca="1">IFERROR(__xludf.DUMMYFUNCTION("IMPORTRANGE(""https://docs.google.com/spreadsheets/d/1MeEWN-I1oV_STSDYn1IFDPWt_1FKiwhDph83XaGc0o0/edit?usp=sharing"",""งบพรบ!BH32"")"),0)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IFERROR(__xludf.DUMMYFUNCTION("IMPORTRANGE(""https://docs.google.com/spreadsheets/d/1MeEWN-I1oV_STSDYn1IFDPWt_1FKiwhDph83XaGc0o0/edit?usp=sharing"",""งบพรบ!BD32"")"),0)</f>
        <v>0</v>
      </c>
      <c r="M127" s="870">
        <f ca="1">IFERROR(__xludf.DUMMYFUNCTION("IMPORTRANGE(""https://docs.google.com/spreadsheets/d/1MeEWN-I1oV_STSDYn1IFDPWt_1FKiwhDph83XaGc0o0/edit?usp=sharing"",""งบพรบ!BG32"")"),0)</f>
        <v>0</v>
      </c>
      <c r="N127" s="870">
        <f ca="1">IFERROR(__xludf.DUMMYFUNCTION("IMPORTRANGE(""https://docs.google.com/spreadsheets/d/1MeEWN-I1oV_STSDYn1IFDPWt_1FKiwhDph83XaGc0o0/edit?usp=sharing"",""งบพรบ!BI32"")"),0)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IFERROR(__xludf.DUMMYFUNCTION("IMPORTRANGE(""https://docs.google.com/spreadsheets/d/1MeEWN-I1oV_STSDYn1IFDPWt_1FKiwhDph83XaGc0o0/edit?usp=sharing"",""งบพรบ!BK32"")"),0)</f>
        <v>0</v>
      </c>
      <c r="M137" s="870">
        <f ca="1">IFERROR(__xludf.DUMMYFUNCTION("IMPORTRANGE(""https://docs.google.com/spreadsheets/d/1MeEWN-I1oV_STSDYn1IFDPWt_1FKiwhDph83XaGc0o0/edit?usp=sharing"",""งบพรบ!BP32"")"),0)</f>
        <v>0</v>
      </c>
      <c r="N137" s="870">
        <f ca="1">IFERROR(__xludf.DUMMYFUNCTION("IMPORTRANGE(""https://docs.google.com/spreadsheets/d/1MeEWN-I1oV_STSDYn1IFDPWt_1FKiwhDph83XaGc0o0/edit?usp=sharing"",""งบพรบ!BR32"")"),0)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IFERROR(__xludf.DUMMYFUNCTION("IMPORTRANGE(""https://docs.google.com/spreadsheets/d/1MeEWN-I1oV_STSDYn1IFDPWt_1FKiwhDph83XaGc0o0/edit?usp=sharing"",""งบพรบ!BN32"")"),0)</f>
        <v>0</v>
      </c>
      <c r="M140" s="870">
        <f ca="1">IFERROR(__xludf.DUMMYFUNCTION("IMPORTRANGE(""https://docs.google.com/spreadsheets/d/1MeEWN-I1oV_STSDYn1IFDPWt_1FKiwhDph83XaGc0o0/edit?usp=sharing"",""งบพรบ!BQ32"")"),0)</f>
        <v>0</v>
      </c>
      <c r="N140" s="870">
        <f ca="1">IFERROR(__xludf.DUMMYFUNCTION("IMPORTRANGE(""https://docs.google.com/spreadsheets/d/1MeEWN-I1oV_STSDYn1IFDPWt_1FKiwhDph83XaGc0o0/edit?usp=sharing"",""งบพรบ!BS32"")"),0)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IFERROR(__xludf.DUMMYFUNCTION("IMPORTRANGE(""https://docs.google.com/spreadsheets/d/1QqKyyYR6Q21VydFLVH3TRQUabQu_ym0Zz7PgGX0-kHA/edit?usp=sharing"",""แผน!U32"")"),0)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IFERROR(__xludf.DUMMYFUNCTION("IMPORTRANGE(""https://docs.google.com/spreadsheets/d/1QqKyyYR6Q21VydFLVH3TRQUabQu_ym0Zz7PgGX0-kHA/edit?usp=sharing"",""แผน!V32"")"),0)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IFERROR(__xludf.DUMMYFUNCTION("IMPORTRANGE(""https://docs.google.com/spreadsheets/d/1QqKyyYR6Q21VydFLVH3TRQUabQu_ym0Zz7PgGX0-kHA/edit?usp=sharing"",""แผน!W32"")"),0)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20</v>
      </c>
      <c r="K148" s="963">
        <f ca="1">IF(I148&gt;0,J148*100/I148,0)</f>
        <v>100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22820</v>
      </c>
      <c r="N149" s="972">
        <f t="shared" ca="1" si="77"/>
        <v>7372</v>
      </c>
      <c r="O149" s="972">
        <f t="shared" ref="O149:O157" ca="1" si="78">IF(L149&gt;0,N149*100/L149,0)</f>
        <v>73.72</v>
      </c>
      <c r="P149" s="972">
        <f t="shared" ref="P149:P157" ca="1" si="79">IF(M149&gt;0,N149*100/M149,0)</f>
        <v>32.304995617879051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22820</v>
      </c>
      <c r="N151" s="870">
        <f t="shared" ca="1" si="80"/>
        <v>7372</v>
      </c>
      <c r="O151" s="870">
        <f t="shared" ca="1" si="78"/>
        <v>73.72</v>
      </c>
      <c r="P151" s="870">
        <f t="shared" ca="1" si="79"/>
        <v>32.304995617879051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22820</v>
      </c>
      <c r="N152" s="864">
        <f t="shared" ca="1" si="81"/>
        <v>7372</v>
      </c>
      <c r="O152" s="864">
        <f t="shared" ca="1" si="78"/>
        <v>73.72</v>
      </c>
      <c r="P152" s="864">
        <f t="shared" ca="1" si="79"/>
        <v>32.304995617879051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IFERROR(__xludf.DUMMYFUNCTION("IMPORTRANGE(""https://docs.google.com/spreadsheets/d/1MeEWN-I1oV_STSDYn1IFDPWt_1FKiwhDph83XaGc0o0/edit?usp=sharing"",""งบพรบ!BU32"")"),10000)</f>
        <v>10000</v>
      </c>
      <c r="M154" s="870">
        <f ca="1">IFERROR(__xludf.DUMMYFUNCTION("IMPORTRANGE(""https://docs.google.com/spreadsheets/d/1MeEWN-I1oV_STSDYn1IFDPWt_1FKiwhDph83XaGc0o0/edit?usp=sharing"",""งบพรบ!BZ32"")"),22820)</f>
        <v>22820</v>
      </c>
      <c r="N154" s="870">
        <f ca="1">IFERROR(__xludf.DUMMYFUNCTION("IMPORTRANGE(""https://docs.google.com/spreadsheets/d/1MeEWN-I1oV_STSDYn1IFDPWt_1FKiwhDph83XaGc0o0/edit?usp=sharing"",""งบพรบ!CB32"")"),7372)</f>
        <v>7372</v>
      </c>
      <c r="O154" s="870">
        <f t="shared" ca="1" si="78"/>
        <v>73.72</v>
      </c>
      <c r="P154" s="870">
        <f t="shared" ca="1" si="79"/>
        <v>32.304995617879051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IFERROR(__xludf.DUMMYFUNCTION("IMPORTRANGE(""https://docs.google.com/spreadsheets/d/1MeEWN-I1oV_STSDYn1IFDPWt_1FKiwhDph83XaGc0o0/edit?usp=sharing"",""งบพรบ!BX32"")"),0)</f>
        <v>0</v>
      </c>
      <c r="M157" s="870">
        <f ca="1">IFERROR(__xludf.DUMMYFUNCTION("IMPORTRANGE(""https://docs.google.com/spreadsheets/d/1MeEWN-I1oV_STSDYn1IFDPWt_1FKiwhDph83XaGc0o0/edit?usp=sharing"",""งบพรบ!CA32"")"),0)</f>
        <v>0</v>
      </c>
      <c r="N157" s="870">
        <f ca="1">IFERROR(__xludf.DUMMYFUNCTION("IMPORTRANGE(""https://docs.google.com/spreadsheets/d/1MeEWN-I1oV_STSDYn1IFDPWt_1FKiwhDph83XaGc0o0/edit?usp=sharing"",""งบพรบ!CC32"")"),0)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IFERROR(__xludf.DUMMYFUNCTION("IMPORTRANGE(""https://docs.google.com/spreadsheets/d/1QqKyyYR6Q21VydFLVH3TRQUabQu_ym0Zz7PgGX0-kHA/edit?usp=sharing"",""แผน!X32"")"),20)</f>
        <v>20</v>
      </c>
      <c r="J159" s="992">
        <v>20</v>
      </c>
      <c r="K159" s="864">
        <f ca="1">IF(I159&gt;0,J159*100/I159,0)</f>
        <v>100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38300</v>
      </c>
      <c r="N165" s="972">
        <f t="shared" ca="1" si="84"/>
        <v>38300</v>
      </c>
      <c r="O165" s="972">
        <f t="shared" ref="O165:O173" ca="1" si="85">IF(L165&gt;0,N165*100/L165,0)</f>
        <v>166.08846487424111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38300</v>
      </c>
      <c r="N167" s="870">
        <f t="shared" ca="1" si="87"/>
        <v>38300</v>
      </c>
      <c r="O167" s="870">
        <f t="shared" ca="1" si="85"/>
        <v>166.08846487424111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38300</v>
      </c>
      <c r="N168" s="864">
        <f t="shared" ca="1" si="88"/>
        <v>38300</v>
      </c>
      <c r="O168" s="864">
        <f t="shared" ca="1" si="85"/>
        <v>166.08846487424111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IFERROR(__xludf.DUMMYFUNCTION("IMPORTRANGE(""https://docs.google.com/spreadsheets/d/1MeEWN-I1oV_STSDYn1IFDPWt_1FKiwhDph83XaGc0o0/edit?usp=sharing"",""งบพรบ!CE32"")"),23060)</f>
        <v>23060</v>
      </c>
      <c r="M170" s="870">
        <f ca="1">IFERROR(__xludf.DUMMYFUNCTION("IMPORTRANGE(""https://docs.google.com/spreadsheets/d/1MeEWN-I1oV_STSDYn1IFDPWt_1FKiwhDph83XaGc0o0/edit?usp=sharing"",""งบพรบ!CJ32"")"),38300)</f>
        <v>38300</v>
      </c>
      <c r="N170" s="870">
        <f ca="1">IFERROR(__xludf.DUMMYFUNCTION("IMPORTRANGE(""https://docs.google.com/spreadsheets/d/1MeEWN-I1oV_STSDYn1IFDPWt_1FKiwhDph83XaGc0o0/edit?usp=sharing"",""งบพรบ!CL32"")"),38300)</f>
        <v>38300</v>
      </c>
      <c r="O170" s="870">
        <f t="shared" ca="1" si="85"/>
        <v>166.08846487424111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IFERROR(__xludf.DUMMYFUNCTION("IMPORTRANGE(""https://docs.google.com/spreadsheets/d/1MeEWN-I1oV_STSDYn1IFDPWt_1FKiwhDph83XaGc0o0/edit?usp=sharing"",""งบพรบ!CH32"")"),0)</f>
        <v>0</v>
      </c>
      <c r="M173" s="870">
        <f ca="1">IFERROR(__xludf.DUMMYFUNCTION("IMPORTRANGE(""https://docs.google.com/spreadsheets/d/1MeEWN-I1oV_STSDYn1IFDPWt_1FKiwhDph83XaGc0o0/edit?usp=sharing"",""งบพรบ!CK32"")"),0)</f>
        <v>0</v>
      </c>
      <c r="N173" s="870">
        <f ca="1">IFERROR(__xludf.DUMMYFUNCTION("IMPORTRANGE(""https://docs.google.com/spreadsheets/d/1MeEWN-I1oV_STSDYn1IFDPWt_1FKiwhDph83XaGc0o0/edit?usp=sharing"",""งบพรบ!CM32"")"),0)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IFERROR(__xludf.DUMMYFUNCTION("IMPORTRANGE(""https://docs.google.com/spreadsheets/d/1QqKyyYR6Q21VydFLVH3TRQUabQu_ym0Zz7PgGX0-kHA/edit?usp=sharing"",""แผน!Y32"")"),12)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67900</v>
      </c>
      <c r="M181" s="972">
        <f t="shared" ca="1" si="92"/>
        <v>48500</v>
      </c>
      <c r="N181" s="972">
        <f t="shared" ca="1" si="92"/>
        <v>26288</v>
      </c>
      <c r="O181" s="972">
        <f t="shared" ref="O181:O189" ca="1" si="93">IF(L181&gt;0,N181*100/L181,0)</f>
        <v>38.715758468335785</v>
      </c>
      <c r="P181" s="972">
        <f t="shared" ref="P181:P189" ca="1" si="94">IF(M181&gt;0,N181*100/M181,0)</f>
        <v>54.202061855670102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67900</v>
      </c>
      <c r="M183" s="870">
        <f t="shared" ca="1" si="95"/>
        <v>48500</v>
      </c>
      <c r="N183" s="870">
        <f t="shared" ca="1" si="95"/>
        <v>26288</v>
      </c>
      <c r="O183" s="870">
        <f t="shared" ca="1" si="93"/>
        <v>38.715758468335785</v>
      </c>
      <c r="P183" s="870">
        <f t="shared" ca="1" si="94"/>
        <v>54.202061855670102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67900</v>
      </c>
      <c r="M184" s="864">
        <f t="shared" ca="1" si="96"/>
        <v>48500</v>
      </c>
      <c r="N184" s="864">
        <f t="shared" ca="1" si="96"/>
        <v>26288</v>
      </c>
      <c r="O184" s="864">
        <f t="shared" ca="1" si="93"/>
        <v>38.715758468335785</v>
      </c>
      <c r="P184" s="864">
        <f t="shared" ca="1" si="94"/>
        <v>54.202061855670102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IFERROR(__xludf.DUMMYFUNCTION("IMPORTRANGE(""https://docs.google.com/spreadsheets/d/1MeEWN-I1oV_STSDYn1IFDPWt_1FKiwhDph83XaGc0o0/edit?usp=sharing"",""งบพรบ!CO32"")"),67900)</f>
        <v>67900</v>
      </c>
      <c r="M186" s="870">
        <f ca="1">IFERROR(__xludf.DUMMYFUNCTION("IMPORTRANGE(""https://docs.google.com/spreadsheets/d/1MeEWN-I1oV_STSDYn1IFDPWt_1FKiwhDph83XaGc0o0/edit?usp=sharing"",""งบพรบ!CT32"")"),48500)</f>
        <v>48500</v>
      </c>
      <c r="N186" s="870">
        <f ca="1">IFERROR(__xludf.DUMMYFUNCTION("IMPORTRANGE(""https://docs.google.com/spreadsheets/d/1MeEWN-I1oV_STSDYn1IFDPWt_1FKiwhDph83XaGc0o0/edit?usp=sharing"",""งบพรบ!CV32"")"),26288)</f>
        <v>26288</v>
      </c>
      <c r="O186" s="870">
        <f t="shared" ca="1" si="93"/>
        <v>38.715758468335785</v>
      </c>
      <c r="P186" s="870">
        <f t="shared" ca="1" si="94"/>
        <v>54.202061855670102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IFERROR(__xludf.DUMMYFUNCTION("IMPORTRANGE(""https://docs.google.com/spreadsheets/d/1MeEWN-I1oV_STSDYn1IFDPWt_1FKiwhDph83XaGc0o0/edit?usp=sharing"",""งบพรบ!CR32"")"),0)</f>
        <v>0</v>
      </c>
      <c r="M189" s="870">
        <f ca="1">IFERROR(__xludf.DUMMYFUNCTION("IMPORTRANGE(""https://docs.google.com/spreadsheets/d/1MeEWN-I1oV_STSDYn1IFDPWt_1FKiwhDph83XaGc0o0/edit?usp=sharing"",""งบพรบ!CU32"")"),0)</f>
        <v>0</v>
      </c>
      <c r="N189" s="870">
        <f ca="1">IFERROR(__xludf.DUMMYFUNCTION("IMPORTRANGE(""https://docs.google.com/spreadsheets/d/1MeEWN-I1oV_STSDYn1IFDPWt_1FKiwhDph83XaGc0o0/edit?usp=sharing"",""งบพรบ!CW32"")"),0)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IFERROR(__xludf.DUMMYFUNCTION("IMPORTRANGE(""https://docs.google.com/spreadsheets/d/1QqKyyYR6Q21VydFLVH3TRQUabQu_ym0Zz7PgGX0-kHA/edit?usp=sharing"",""แผน!Z32"")"),6000)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IFERROR(__xludf.DUMMYFUNCTION("IMPORTRANGE(""https://docs.google.com/spreadsheets/d/1QqKyyYR6Q21VydFLVH3TRQUabQu_ym0Zz7PgGX0-kHA/edit?usp=sharing"",""แผน!AC32"")"),4)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26288</v>
      </c>
      <c r="O198" s="972">
        <f ca="1">IF(L198&gt;0,N198*100/L198,0)</f>
        <v>67.405128205128207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IFERROR(__xludf.DUMMYFUNCTION("IMPORTRANGE(""https://docs.google.com/spreadsheets/d/1QqKyyYR6Q21VydFLVH3TRQUabQu_ym0Zz7PgGX0-kHA/edit?usp=sharing"",""แผน!AE32"")"),3000)</f>
        <v>3000</v>
      </c>
      <c r="M199" s="864"/>
      <c r="N199" s="1064">
        <v>2288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IFERROR(__xludf.DUMMYFUNCTION("IMPORTRANGE(""https://docs.google.com/spreadsheets/d/1QqKyyYR6Q21VydFLVH3TRQUabQu_ym0Zz7PgGX0-kHA/edit?usp=sharing"",""แผน!AF32"")"),24000)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IFERROR(__xludf.DUMMYFUNCTION("IMPORTRANGE(""https://docs.google.com/spreadsheets/d/1QqKyyYR6Q21VydFLVH3TRQUabQu_ym0Zz7PgGX0-kHA/edit?usp=sharing"",""แผน!AG32"")"),12000)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IFERROR(__xludf.DUMMYFUNCTION("IMPORTRANGE(""https://docs.google.com/spreadsheets/d/1QqKyyYR6Q21VydFLVH3TRQUabQu_ym0Zz7PgGX0-kHA/edit?usp=sharing"",""แผน!AH32"")"),0)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IFERROR(__xludf.DUMMYFUNCTION("IMPORTRANGE(""https://docs.google.com/spreadsheets/d/1QqKyyYR6Q21VydFLVH3TRQUabQu_ym0Zz7PgGX0-kHA/edit?usp=sharing"",""แผน!AI32"")"),3)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IFERROR(__xludf.DUMMYFUNCTION("IMPORTRANGE(""https://docs.google.com/spreadsheets/d/1QqKyyYR6Q21VydFLVH3TRQUabQu_ym0Zz7PgGX0-kHA/edit?usp=sharing"",""แผน!AK32"")"),0)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IFERROR(__xludf.DUMMYFUNCTION("IMPORTRANGE(""https://docs.google.com/spreadsheets/d/1QqKyyYR6Q21VydFLVH3TRQUabQu_ym0Zz7PgGX0-kHA/edit?usp=sharing"",""แผน!AL32"")"),0)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IFERROR(__xludf.DUMMYFUNCTION("IMPORTRANGE(""https://docs.google.com/spreadsheets/d/1QqKyyYR6Q21VydFLVH3TRQUabQu_ym0Zz7PgGX0-kHA/edit?usp=sharing"",""แผน!AM32"")"),0)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IFERROR(__xludf.DUMMYFUNCTION("IMPORTRANGE(""https://docs.google.com/spreadsheets/d/1QqKyyYR6Q21VydFLVH3TRQUabQu_ym0Zz7PgGX0-kHA/edit?usp=sharing"",""แผน!AN32"")"),0)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IFERROR(__xludf.DUMMYFUNCTION("IMPORTRANGE(""https://docs.google.com/spreadsheets/d/1QqKyyYR6Q21VydFLVH3TRQUabQu_ym0Zz7PgGX0-kHA/edit?usp=sharing"",""แผน!AN32"")"),0)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65000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22900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IFERROR(__xludf.DUMMYFUNCTION("IMPORTRANGE(""https://docs.google.com/spreadsheets/d/1QqKyyYR6Q21VydFLVH3TRQUabQu_ym0Zz7PgGX0-kHA/edit?usp=sharing"",""แผน!AP32"")"),5000)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IFERROR(__xludf.DUMMYFUNCTION("IMPORTRANGE(""https://docs.google.com/spreadsheets/d/1QqKyyYR6Q21VydFLVH3TRQUabQu_ym0Zz7PgGX0-kHA/edit?usp=sharing"",""แผน!AQ32"")"),17900)</f>
        <v>17900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IFERROR(__xludf.DUMMYFUNCTION("IMPORTRANGE(""https://docs.google.com/spreadsheets/d/1QqKyyYR6Q21VydFLVH3TRQUabQu_ym0Zz7PgGX0-kHA/edit?usp=sharing"",""แผน!AR32"")"),0)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IFERROR(__xludf.DUMMYFUNCTION("IMPORTRANGE(""https://docs.google.com/spreadsheets/d/1QqKyyYR6Q21VydFLVH3TRQUabQu_ym0Zz7PgGX0-kHA/edit?usp=sharing"",""แผน!AT32"")"),65000)</f>
        <v>65000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IFERROR(__xludf.DUMMYFUNCTION("IMPORTRANGE(""https://docs.google.com/spreadsheets/d/1QqKyyYR6Q21VydFLVH3TRQUabQu_ym0Zz7PgGX0-kHA/edit?usp=sharing"",""แผน!AT32"")"),65000)</f>
        <v>65000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IFERROR(__xludf.DUMMYFUNCTION("IMPORTRANGE(""https://docs.google.com/spreadsheets/d/1QqKyyYR6Q21VydFLVH3TRQUabQu_ym0Zz7PgGX0-kHA/edit?usp=sharing"",""แผน!AS32"")"),0)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IFERROR(__xludf.DUMMYFUNCTION("IMPORTRANGE(""https://docs.google.com/spreadsheets/d/1QqKyyYR6Q21VydFLVH3TRQUabQu_ym0Zz7PgGX0-kHA/edit?usp=sharing"",""แผน!AV32"")"),0)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IFERROR(__xludf.DUMMYFUNCTION("IMPORTRANGE(""https://docs.google.com/spreadsheets/d/1QqKyyYR6Q21VydFLVH3TRQUabQu_ym0Zz7PgGX0-kHA/edit?usp=sharing"",""แผน!AW32"")"),0)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IFERROR(__xludf.DUMMYFUNCTION("IMPORTRANGE(""https://docs.google.com/spreadsheets/d/1QqKyyYR6Q21VydFLVH3TRQUabQu_ym0Zz7PgGX0-kHA/edit?usp=sharing"",""แผน!AX32"")"),0)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IFERROR(__xludf.DUMMYFUNCTION("IMPORTRANGE(""https://docs.google.com/spreadsheets/d/1QqKyyYR6Q21VydFLVH3TRQUabQu_ym0Zz7PgGX0-kHA/edit?usp=sharing"",""แผน!AY32"")"),0)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IFERROR(__xludf.DUMMYFUNCTION("IMPORTRANGE(""https://docs.google.com/spreadsheets/d/1QqKyyYR6Q21VydFLVH3TRQUabQu_ym0Zz7PgGX0-kHA/edit?usp=sharing"",""แผน!BE32"")"),0)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IFERROR(__xludf.DUMMYFUNCTION("IMPORTRANGE(""https://docs.google.com/spreadsheets/d/1QqKyyYR6Q21VydFLVH3TRQUabQu_ym0Zz7PgGX0-kHA/edit?usp=sharing"",""แผน!AZ32"")"),0)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IFERROR(__xludf.DUMMYFUNCTION("IMPORTRANGE(""https://docs.google.com/spreadsheets/d/1QqKyyYR6Q21VydFLVH3TRQUabQu_ym0Zz7PgGX0-kHA/edit?usp=sharing"",""แผน!BA32"")"),0)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IFERROR(__xludf.DUMMYFUNCTION("IMPORTRANGE(""https://docs.google.com/spreadsheets/d/1QqKyyYR6Q21VydFLVH3TRQUabQu_ym0Zz7PgGX0-kHA/edit?usp=sharing"",""แผน!BB32"")"),0)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IFERROR(__xludf.DUMMYFUNCTION("IMPORTRANGE(""https://docs.google.com/spreadsheets/d/1QqKyyYR6Q21VydFLVH3TRQUabQu_ym0Zz7PgGX0-kHA/edit?usp=sharing"",""แผน!BC32"")"),0)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IFERROR(__xludf.DUMMYFUNCTION("IMPORTRANGE(""https://docs.google.com/spreadsheets/d/1QqKyyYR6Q21VydFLVH3TRQUabQu_ym0Zz7PgGX0-kHA/edit?usp=sharing"",""แผน!BF32"")"),0)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20</v>
      </c>
      <c r="J260" s="1041">
        <f t="shared" si="115"/>
        <v>20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25000</v>
      </c>
      <c r="M261" s="972">
        <f t="shared" ca="1" si="116"/>
        <v>22000</v>
      </c>
      <c r="N261" s="972">
        <f t="shared" ca="1" si="116"/>
        <v>20780</v>
      </c>
      <c r="O261" s="972">
        <f t="shared" ref="O261:O269" ca="1" si="117">IF(L261&gt;0,N261*100/L261,0)</f>
        <v>83.12</v>
      </c>
      <c r="P261" s="972">
        <f t="shared" ref="P261:P269" ca="1" si="118">IF(M261&gt;0,N261*100/M261,0)</f>
        <v>94.454545454545453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25000</v>
      </c>
      <c r="M263" s="870">
        <f t="shared" ca="1" si="119"/>
        <v>22000</v>
      </c>
      <c r="N263" s="870">
        <f t="shared" ca="1" si="119"/>
        <v>20780</v>
      </c>
      <c r="O263" s="870">
        <f t="shared" ca="1" si="117"/>
        <v>83.12</v>
      </c>
      <c r="P263" s="870">
        <f t="shared" ca="1" si="118"/>
        <v>94.454545454545453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25000</v>
      </c>
      <c r="M264" s="864">
        <f t="shared" ca="1" si="120"/>
        <v>22000</v>
      </c>
      <c r="N264" s="864">
        <f t="shared" ca="1" si="120"/>
        <v>20780</v>
      </c>
      <c r="O264" s="864">
        <f t="shared" ca="1" si="117"/>
        <v>83.12</v>
      </c>
      <c r="P264" s="864">
        <f t="shared" ca="1" si="118"/>
        <v>94.454545454545453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IFERROR(__xludf.DUMMYFUNCTION("IMPORTRANGE(""https://docs.google.com/spreadsheets/d/1MeEWN-I1oV_STSDYn1IFDPWt_1FKiwhDph83XaGc0o0/edit?usp=sharing"",""งบพรบ!CY32"")"),25000)</f>
        <v>25000</v>
      </c>
      <c r="M266" s="870">
        <f ca="1">IFERROR(__xludf.DUMMYFUNCTION("IMPORTRANGE(""https://docs.google.com/spreadsheets/d/1MeEWN-I1oV_STSDYn1IFDPWt_1FKiwhDph83XaGc0o0/edit?usp=sharing"",""งบพรบ!DD32"")"),22000)</f>
        <v>22000</v>
      </c>
      <c r="N266" s="870">
        <f ca="1">IFERROR(__xludf.DUMMYFUNCTION("IMPORTRANGE(""https://docs.google.com/spreadsheets/d/1MeEWN-I1oV_STSDYn1IFDPWt_1FKiwhDph83XaGc0o0/edit?usp=sharing"",""งบพรบ!DF32"")"),20780)</f>
        <v>20780</v>
      </c>
      <c r="O266" s="870">
        <f t="shared" ca="1" si="117"/>
        <v>83.12</v>
      </c>
      <c r="P266" s="870">
        <f t="shared" ca="1" si="118"/>
        <v>94.454545454545453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IFERROR(__xludf.DUMMYFUNCTION("IMPORTRANGE(""https://docs.google.com/spreadsheets/d/1MeEWN-I1oV_STSDYn1IFDPWt_1FKiwhDph83XaGc0o0/edit?usp=sharing"",""งบพรบ!DB32"")"),0)</f>
        <v>0</v>
      </c>
      <c r="M269" s="870">
        <f ca="1">IFERROR(__xludf.DUMMYFUNCTION("IMPORTRANGE(""https://docs.google.com/spreadsheets/d/1MeEWN-I1oV_STSDYn1IFDPWt_1FKiwhDph83XaGc0o0/edit?usp=sharing"",""งบพรบ!DE32"")"),0)</f>
        <v>0</v>
      </c>
      <c r="N269" s="870">
        <f ca="1">IFERROR(__xludf.DUMMYFUNCTION("IMPORTRANGE(""https://docs.google.com/spreadsheets/d/1MeEWN-I1oV_STSDYn1IFDPWt_1FKiwhDph83XaGc0o0/edit?usp=sharing"",""งบพรบ!DG32"")"),0)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IFERROR(__xludf.DUMMYFUNCTION("IMPORTRANGE(""https://docs.google.com/spreadsheets/d/1QqKyyYR6Q21VydFLVH3TRQUabQu_ym0Zz7PgGX0-kHA/edit?usp=sharing"",""แผน!EA32"")"),20)</f>
        <v>20</v>
      </c>
      <c r="J271" s="992">
        <v>20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25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250</v>
      </c>
      <c r="J276" s="1141">
        <f t="shared" si="124"/>
        <v>0</v>
      </c>
      <c r="K276" s="1140">
        <f t="shared" ca="1" si="123"/>
        <v>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259920</v>
      </c>
      <c r="M277" s="972">
        <f t="shared" ca="1" si="125"/>
        <v>170820</v>
      </c>
      <c r="N277" s="972">
        <f t="shared" ca="1" si="125"/>
        <v>108328.73</v>
      </c>
      <c r="O277" s="972">
        <f t="shared" ref="O277:O285" ca="1" si="126">IF(L277&gt;0,N277*100/L277,0)</f>
        <v>41.677720067713139</v>
      </c>
      <c r="P277" s="972">
        <f t="shared" ref="P277:P285" ca="1" si="127">IF(M277&gt;0,N277*100/M277,0)</f>
        <v>63.416889123053508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259920</v>
      </c>
      <c r="M279" s="870">
        <f t="shared" ca="1" si="128"/>
        <v>170820</v>
      </c>
      <c r="N279" s="870">
        <f t="shared" ca="1" si="128"/>
        <v>108328.73</v>
      </c>
      <c r="O279" s="870">
        <f t="shared" ca="1" si="126"/>
        <v>41.677720067713139</v>
      </c>
      <c r="P279" s="870">
        <f t="shared" ca="1" si="127"/>
        <v>63.416889123053508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259920</v>
      </c>
      <c r="M280" s="864">
        <f t="shared" ca="1" si="129"/>
        <v>170820</v>
      </c>
      <c r="N280" s="864">
        <f t="shared" ca="1" si="129"/>
        <v>108328.73</v>
      </c>
      <c r="O280" s="864">
        <f t="shared" ca="1" si="126"/>
        <v>41.677720067713139</v>
      </c>
      <c r="P280" s="864">
        <f t="shared" ca="1" si="127"/>
        <v>63.416889123053508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IFERROR(__xludf.DUMMYFUNCTION("IMPORTRANGE(""https://docs.google.com/spreadsheets/d/1MeEWN-I1oV_STSDYn1IFDPWt_1FKiwhDph83XaGc0o0/edit?usp=sharing"",""งบพรบ!DI32"")"),259920)</f>
        <v>259920</v>
      </c>
      <c r="M282" s="870">
        <f ca="1">IFERROR(__xludf.DUMMYFUNCTION("IMPORTRANGE(""https://docs.google.com/spreadsheets/d/1MeEWN-I1oV_STSDYn1IFDPWt_1FKiwhDph83XaGc0o0/edit?usp=sharing"",""งบพรบ!DN32"")"),170820)</f>
        <v>170820</v>
      </c>
      <c r="N282" s="870">
        <f ca="1">IFERROR(__xludf.DUMMYFUNCTION("IMPORTRANGE(""https://docs.google.com/spreadsheets/d/1MeEWN-I1oV_STSDYn1IFDPWt_1FKiwhDph83XaGc0o0/edit?usp=sharing"",""งบพรบ!DP32"")"),108328.73)</f>
        <v>108328.73</v>
      </c>
      <c r="O282" s="870">
        <f t="shared" ca="1" si="126"/>
        <v>41.677720067713139</v>
      </c>
      <c r="P282" s="870">
        <f t="shared" ca="1" si="127"/>
        <v>63.416889123053508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IFERROR(__xludf.DUMMYFUNCTION("IMPORTRANGE(""https://docs.google.com/spreadsheets/d/1MeEWN-I1oV_STSDYn1IFDPWt_1FKiwhDph83XaGc0o0/edit?usp=sharing"",""งบพรบ!DL32"")"),0)</f>
        <v>0</v>
      </c>
      <c r="M285" s="870">
        <f ca="1">IFERROR(__xludf.DUMMYFUNCTION("IMPORTRANGE(""https://docs.google.com/spreadsheets/d/1MeEWN-I1oV_STSDYn1IFDPWt_1FKiwhDph83XaGc0o0/edit?usp=sharing"",""งบพรบ!DO32"")"),0)</f>
        <v>0</v>
      </c>
      <c r="N285" s="870">
        <f ca="1">IFERROR(__xludf.DUMMYFUNCTION("IMPORTRANGE(""https://docs.google.com/spreadsheets/d/1MeEWN-I1oV_STSDYn1IFDPWt_1FKiwhDph83XaGc0o0/edit?usp=sharing"",""งบพรบ!DQ32"")"),0)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IFERROR(__xludf.DUMMYFUNCTION("IMPORTRANGE(""https://docs.google.com/spreadsheets/d/1QqKyyYR6Q21VydFLVH3TRQUabQu_ym0Zz7PgGX0-kHA/edit?usp=sharing"",""แผน!EC32"")"),250)</f>
        <v>250</v>
      </c>
      <c r="J287" s="992"/>
      <c r="K287" s="978">
        <f t="shared" ref="K287:K288" ca="1" si="131">IF(I287&gt;0,J287*100/I287,0)</f>
        <v>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IFERROR(__xludf.DUMMYFUNCTION("IMPORTRANGE(""https://docs.google.com/spreadsheets/d/1QqKyyYR6Q21VydFLVH3TRQUabQu_ym0Zz7PgGX0-kHA/edit?usp=sharing"",""แผน!EB32"")"),25)</f>
        <v>25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IFERROR(__xludf.DUMMYFUNCTION("IMPORTRANGE(""https://docs.google.com/spreadsheets/d/1QqKyyYR6Q21VydFLVH3TRQUabQu_ym0Zz7PgGX0-kHA/edit?usp=sharing"",""แผน!EB32"")"),25)</f>
        <v>25</v>
      </c>
      <c r="J290" s="992"/>
      <c r="K290" s="978">
        <f t="shared" ref="K290:K291" ca="1" si="132">IF(I290&gt;0,J290*100/I290,0)</f>
        <v>0</v>
      </c>
      <c r="L290" s="978"/>
      <c r="M290" s="978"/>
      <c r="N290" s="978"/>
      <c r="O290" s="978"/>
      <c r="P290" s="978"/>
    </row>
    <row r="291" spans="1:26" ht="18.75">
      <c r="A291" s="982"/>
      <c r="B291" s="983"/>
      <c r="C291" s="983"/>
      <c r="D291" s="990"/>
      <c r="E291" s="994" t="s">
        <v>333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IFERROR(__xludf.DUMMYFUNCTION("IMPORTRANGE(""https://docs.google.com/spreadsheets/d/1QqKyyYR6Q21VydFLVH3TRQUabQu_ym0Zz7PgGX0-kHA/edit?usp=sharing"",""แผน!EB32"")"),25)</f>
        <v>25</v>
      </c>
      <c r="J291" s="992"/>
      <c r="K291" s="978">
        <f t="shared" ca="1" si="132"/>
        <v>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IFERROR(__xludf.DUMMYFUNCTION("IMPORTRANGE(""https://docs.google.com/spreadsheets/d/1QqKyyYR6Q21VydFLVH3TRQUabQu_ym0Zz7PgGX0-kHA/edit?usp=sharing"",""แผน!EB32"")"),25)</f>
        <v>25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8.75">
      <c r="A294" s="1112"/>
      <c r="B294" s="1113"/>
      <c r="C294" s="1113"/>
      <c r="D294" s="1115"/>
      <c r="E294" s="1149" t="s">
        <v>334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IFERROR(__xludf.DUMMYFUNCTION("IMPORTRANGE(""https://docs.google.com/spreadsheets/d/1QqKyyYR6Q21VydFLVH3TRQUabQu_ym0Zz7PgGX0-kHA/edit?usp=sharing"",""แผน!EB32"")"),25)</f>
        <v>25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IFERROR(__xludf.DUMMYFUNCTION("IMPORTRANGE(""https://docs.google.com/spreadsheets/d/1MeEWN-I1oV_STSDYn1IFDPWt_1FKiwhDph83XaGc0o0/edit?usp=sharing"",""งบพรบ!DS32"")"),0)</f>
        <v>0</v>
      </c>
      <c r="M303" s="870">
        <f ca="1">IFERROR(__xludf.DUMMYFUNCTION("IMPORTRANGE(""https://docs.google.com/spreadsheets/d/1MeEWN-I1oV_STSDYn1IFDPWt_1FKiwhDph83XaGc0o0/edit?usp=sharing"",""งบพรบ!DX32"")"),0)</f>
        <v>0</v>
      </c>
      <c r="N303" s="870">
        <f ca="1">IFERROR(__xludf.DUMMYFUNCTION("IMPORTRANGE(""https://docs.google.com/spreadsheets/d/1MeEWN-I1oV_STSDYn1IFDPWt_1FKiwhDph83XaGc0o0/edit?usp=sharing"",""งบพรบ!DZ32"")"),0)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IFERROR(__xludf.DUMMYFUNCTION("IMPORTRANGE(""https://docs.google.com/spreadsheets/d/1MeEWN-I1oV_STSDYn1IFDPWt_1FKiwhDph83XaGc0o0/edit?usp=sharing"",""งบพรบ!DV32"")"),0)</f>
        <v>0</v>
      </c>
      <c r="M306" s="870">
        <f ca="1">IFERROR(__xludf.DUMMYFUNCTION("IMPORTRANGE(""https://docs.google.com/spreadsheets/d/1MeEWN-I1oV_STSDYn1IFDPWt_1FKiwhDph83XaGc0o0/edit?usp=sharing"",""งบพรบ!DY32"")"),0)</f>
        <v>0</v>
      </c>
      <c r="N306" s="870">
        <f ca="1">IFERROR(__xludf.DUMMYFUNCTION("IMPORTRANGE(""https://docs.google.com/spreadsheets/d/1MeEWN-I1oV_STSDYn1IFDPWt_1FKiwhDph83XaGc0o0/edit?usp=sharing"",""งบพรบ!EA32"")"),0)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IFERROR(__xludf.DUMMYFUNCTION("IMPORTRANGE(""https://docs.google.com/spreadsheets/d/1QqKyyYR6Q21VydFLVH3TRQUabQu_ym0Zz7PgGX0-kHA/edit?usp=sharing"",""แผน!ED32"")"),0)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IFERROR(__xludf.DUMMYFUNCTION("IMPORTRANGE(""https://docs.google.com/spreadsheets/d/1QqKyyYR6Q21VydFLVH3TRQUabQu_ym0Zz7PgGX0-kHA/edit?usp=sharing"",""แผน!ED32"")"),0)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IFERROR(__xludf.DUMMYFUNCTION("IMPORTRANGE(""https://docs.google.com/spreadsheets/d/1QqKyyYR6Q21VydFLVH3TRQUabQu_ym0Zz7PgGX0-kHA/edit?usp=sharing"",""แผน!ED32"")"),0)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IFERROR(__xludf.DUMMYFUNCTION("IMPORTRANGE(""https://docs.google.com/spreadsheets/d/1QqKyyYR6Q21VydFLVH3TRQUabQu_ym0Zz7PgGX0-kHA/edit?usp=sharing"",""แผน!EE32"")"),0)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1</v>
      </c>
      <c r="J314" s="1170">
        <f t="shared" si="142"/>
        <v>1</v>
      </c>
      <c r="K314" s="1171">
        <f ca="1">IF(I314&gt;0,J314*100/I314,0)</f>
        <v>100</v>
      </c>
      <c r="L314" s="1172"/>
      <c r="M314" s="1172"/>
      <c r="N314" s="1172"/>
      <c r="O314" s="1172"/>
      <c r="P314" s="1172"/>
    </row>
    <row r="315" spans="1:26" ht="19.5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439000</v>
      </c>
      <c r="M315" s="972">
        <f t="shared" ca="1" si="143"/>
        <v>322500</v>
      </c>
      <c r="N315" s="972">
        <f t="shared" ca="1" si="143"/>
        <v>154613.59</v>
      </c>
      <c r="O315" s="972">
        <f t="shared" ref="O315:O323" ca="1" si="144">IF(L315&gt;0,N315*100/L315,0)</f>
        <v>35.21949658314351</v>
      </c>
      <c r="P315" s="972">
        <f t="shared" ref="P315:P323" ca="1" si="145">IF(M315&gt;0,N315*100/M315,0)</f>
        <v>47.942198449612405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439000</v>
      </c>
      <c r="M317" s="870">
        <f t="shared" ca="1" si="146"/>
        <v>322500</v>
      </c>
      <c r="N317" s="870">
        <f t="shared" ca="1" si="146"/>
        <v>154613.59</v>
      </c>
      <c r="O317" s="870">
        <f t="shared" ca="1" si="144"/>
        <v>35.21949658314351</v>
      </c>
      <c r="P317" s="870">
        <f t="shared" ca="1" si="145"/>
        <v>47.942198449612405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439000</v>
      </c>
      <c r="M318" s="864">
        <f t="shared" ca="1" si="147"/>
        <v>322500</v>
      </c>
      <c r="N318" s="864">
        <f t="shared" ca="1" si="147"/>
        <v>154613.59</v>
      </c>
      <c r="O318" s="864">
        <f t="shared" ca="1" si="144"/>
        <v>35.21949658314351</v>
      </c>
      <c r="P318" s="864">
        <f t="shared" ca="1" si="145"/>
        <v>47.942198449612405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IFERROR(__xludf.DUMMYFUNCTION("IMPORTRANGE(""https://docs.google.com/spreadsheets/d/1MeEWN-I1oV_STSDYn1IFDPWt_1FKiwhDph83XaGc0o0/edit?usp=sharing"",""งบพรบ!EC32"")"),439000)</f>
        <v>439000</v>
      </c>
      <c r="M320" s="870">
        <f ca="1">IFERROR(__xludf.DUMMYFUNCTION("IMPORTRANGE(""https://docs.google.com/spreadsheets/d/1MeEWN-I1oV_STSDYn1IFDPWt_1FKiwhDph83XaGc0o0/edit?usp=sharing"",""งบพรบ!EH32"")"),322500)</f>
        <v>322500</v>
      </c>
      <c r="N320" s="870">
        <f ca="1">IFERROR(__xludf.DUMMYFUNCTION("IMPORTRANGE(""https://docs.google.com/spreadsheets/d/1MeEWN-I1oV_STSDYn1IFDPWt_1FKiwhDph83XaGc0o0/edit?usp=sharing"",""งบพรบ!EJ32"")"),154613.59)</f>
        <v>154613.59</v>
      </c>
      <c r="O320" s="870">
        <f t="shared" ca="1" si="144"/>
        <v>35.21949658314351</v>
      </c>
      <c r="P320" s="870">
        <f t="shared" ca="1" si="145"/>
        <v>47.942198449612405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IFERROR(__xludf.DUMMYFUNCTION("IMPORTRANGE(""https://docs.google.com/spreadsheets/d/1MeEWN-I1oV_STSDYn1IFDPWt_1FKiwhDph83XaGc0o0/edit?usp=sharing"",""งบพรบ!EF32"")"),0)</f>
        <v>0</v>
      </c>
      <c r="M323" s="870">
        <f ca="1">IFERROR(__xludf.DUMMYFUNCTION("IMPORTRANGE(""https://docs.google.com/spreadsheets/d/1MeEWN-I1oV_STSDYn1IFDPWt_1FKiwhDph83XaGc0o0/edit?usp=sharing"",""งบพรบ!EI32"")"),0)</f>
        <v>0</v>
      </c>
      <c r="N323" s="870">
        <f ca="1">IFERROR(__xludf.DUMMYFUNCTION("IMPORTRANGE(""https://docs.google.com/spreadsheets/d/1MeEWN-I1oV_STSDYn1IFDPWt_1FKiwhDph83XaGc0o0/edit?usp=sharing"",""งบพรบ!EK32"")"),0)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IFERROR(__xludf.DUMMYFUNCTION("IMPORTRANGE(""https://docs.google.com/spreadsheets/d/1QqKyyYR6Q21VydFLVH3TRQUabQu_ym0Zz7PgGX0-kHA/edit?usp=sharing"",""แผน!EF32"")"),1)</f>
        <v>1</v>
      </c>
      <c r="J325" s="992">
        <v>1</v>
      </c>
      <c r="K325" s="864">
        <f ca="1">IF(I325&gt;0,J325*100/I325,0)</f>
        <v>100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IFERROR(__xludf.DUMMYFUNCTION("IMPORTRANGE(""https://docs.google.com/spreadsheets/d/1QqKyyYR6Q21VydFLVH3TRQUabQu_ym0Zz7PgGX0-kHA/edit?usp=sharing"",""แผน!EG32"")"),1800)</f>
        <v>1800</v>
      </c>
      <c r="J327" s="1170">
        <f ca="1">J338+J341+J342+J343</f>
        <v>1585</v>
      </c>
      <c r="K327" s="1171">
        <f ca="1">IF(I327&gt;0,J327*100/I327,0)</f>
        <v>88.055555555555557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174000</v>
      </c>
      <c r="M328" s="972">
        <f t="shared" ca="1" si="149"/>
        <v>133000</v>
      </c>
      <c r="N328" s="972">
        <f t="shared" ca="1" si="149"/>
        <v>62532.74</v>
      </c>
      <c r="O328" s="972">
        <f t="shared" ref="O328:O336" ca="1" si="150">IF(L328&gt;0,N328*100/L328,0)</f>
        <v>35.93835632183908</v>
      </c>
      <c r="P328" s="972">
        <f t="shared" ref="P328:P336" ca="1" si="151">IF(M328&gt;0,N328*100/M328,0)</f>
        <v>47.017097744360903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174000</v>
      </c>
      <c r="M330" s="870">
        <f t="shared" ca="1" si="152"/>
        <v>133000</v>
      </c>
      <c r="N330" s="870">
        <f t="shared" ca="1" si="152"/>
        <v>62532.74</v>
      </c>
      <c r="O330" s="870">
        <f t="shared" ca="1" si="150"/>
        <v>35.93835632183908</v>
      </c>
      <c r="P330" s="870">
        <f t="shared" ca="1" si="151"/>
        <v>47.017097744360903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174000</v>
      </c>
      <c r="M331" s="864">
        <f t="shared" ca="1" si="153"/>
        <v>133000</v>
      </c>
      <c r="N331" s="864">
        <f t="shared" ca="1" si="153"/>
        <v>62532.74</v>
      </c>
      <c r="O331" s="864">
        <f t="shared" ca="1" si="150"/>
        <v>35.93835632183908</v>
      </c>
      <c r="P331" s="864">
        <f t="shared" ca="1" si="151"/>
        <v>47.017097744360903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IFERROR(__xludf.DUMMYFUNCTION("IMPORTRANGE(""https://docs.google.com/spreadsheets/d/1MeEWN-I1oV_STSDYn1IFDPWt_1FKiwhDph83XaGc0o0/edit?usp=sharing"",""งบพรบ!EM32"")"),174000)</f>
        <v>174000</v>
      </c>
      <c r="M333" s="870">
        <f ca="1">IFERROR(__xludf.DUMMYFUNCTION("IMPORTRANGE(""https://docs.google.com/spreadsheets/d/1MeEWN-I1oV_STSDYn1IFDPWt_1FKiwhDph83XaGc0o0/edit?usp=sharing"",""งบพรบ!ER32"")"),133000)</f>
        <v>133000</v>
      </c>
      <c r="N333" s="870">
        <f ca="1">IFERROR(__xludf.DUMMYFUNCTION("IMPORTRANGE(""https://docs.google.com/spreadsheets/d/1MeEWN-I1oV_STSDYn1IFDPWt_1FKiwhDph83XaGc0o0/edit?usp=sharing"",""งบพรบ!ET32"")"),62532.74)</f>
        <v>62532.74</v>
      </c>
      <c r="O333" s="870">
        <f t="shared" ca="1" si="150"/>
        <v>35.93835632183908</v>
      </c>
      <c r="P333" s="870">
        <f t="shared" ca="1" si="151"/>
        <v>47.017097744360903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IFERROR(__xludf.DUMMYFUNCTION("IMPORTRANGE(""https://docs.google.com/spreadsheets/d/1MeEWN-I1oV_STSDYn1IFDPWt_1FKiwhDph83XaGc0o0/edit?usp=sharing"",""งบพรบ!EP32"")"),0)</f>
        <v>0</v>
      </c>
      <c r="M336" s="870">
        <f ca="1">IFERROR(__xludf.DUMMYFUNCTION("IMPORTRANGE(""https://docs.google.com/spreadsheets/d/1MeEWN-I1oV_STSDYn1IFDPWt_1FKiwhDph83XaGc0o0/edit?usp=sharing"",""งบพรบ!ES32"")"),0)</f>
        <v>0</v>
      </c>
      <c r="N336" s="870">
        <f ca="1">IFERROR(__xludf.DUMMYFUNCTION("IMPORTRANGE(""https://docs.google.com/spreadsheets/d/1MeEWN-I1oV_STSDYn1IFDPWt_1FKiwhDph83XaGc0o0/edit?usp=sharing"",""งบพรบ!EU32"")"),0)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IFERROR(__xludf.DUMMYFUNCTION("IMPORTRANGE(""https://docs.google.com/spreadsheets/d/1QqKyyYR6Q21VydFLVH3TRQUabQu_ym0Zz7PgGX0-kHA/edit?usp=sharing"",""แผน!EG32"")"),1800)</f>
        <v>1800</v>
      </c>
      <c r="J338" s="863">
        <f ca="1">IFERROR(__xludf.DUMMYFUNCTION("IMPORTRANGE(""https://docs.google.com/spreadsheets/d/1kVcqe37tkHyjCSG3S0O1AXqVkqjo8mSIZil3BcpIysc/edit?usp=sharing"",""ศูนย์!D32"")"),1553)</f>
        <v>1553</v>
      </c>
      <c r="K338" s="864">
        <f ca="1">IF(I338&gt;0,J338*100/I338,0)</f>
        <v>86.277777777777771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IFERROR(__xludf.DUMMYFUNCTION("IMPORTRANGE(""https://docs.google.com/spreadsheets/d/1QqKyyYR6Q21VydFLVH3TRQUabQu_ym0Zz7PgGX0-kHA/edit?usp=sharing"",""แผน!EH32"")"),8)</f>
        <v>8</v>
      </c>
      <c r="J340" s="863">
        <f ca="1">IFERROR(__xludf.DUMMYFUNCTION("IMPORTRANGE(""https://docs.google.com/spreadsheets/d/1kVcqe37tkHyjCSG3S0O1AXqVkqjo8mSIZil3BcpIysc/edit?usp=sharing"",""ศูนย์!E32"")"),3)</f>
        <v>3</v>
      </c>
      <c r="K340" s="864">
        <f ca="1">IF(I340&gt;0,J340*100/I340,0)</f>
        <v>37.5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IFERROR(__xludf.DUMMYFUNCTION("IMPORTRANGE(""https://docs.google.com/spreadsheets/d/1kVcqe37tkHyjCSG3S0O1AXqVkqjo8mSIZil3BcpIysc/edit?usp=sharing"",""ศูนย์!F32"")"),32)</f>
        <v>32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IFERROR(__xludf.DUMMYFUNCTION("IMPORTRANGE(""https://docs.google.com/spreadsheets/d/1kVcqe37tkHyjCSG3S0O1AXqVkqjo8mSIZil3BcpIysc/edit?usp=sharing"",""ศูนย์!G32"")"),0)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IFERROR(__xludf.DUMMYFUNCTION("IMPORTRANGE(""https://docs.google.com/spreadsheets/d/1kVcqe37tkHyjCSG3S0O1AXqVkqjo8mSIZil3BcpIysc/edit?usp=sharing"",""ศูนย์!H32"")"),0)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1058490</v>
      </c>
      <c r="M345" s="972">
        <f t="shared" ca="1" si="155"/>
        <v>787430</v>
      </c>
      <c r="N345" s="972">
        <f t="shared" ca="1" si="155"/>
        <v>518189.2</v>
      </c>
      <c r="O345" s="972">
        <f t="shared" ref="O345:O353" ca="1" si="156">IF(L345&gt;0,N345*100/L345,0)</f>
        <v>48.955512097421796</v>
      </c>
      <c r="P345" s="972">
        <f t="shared" ref="P345:P353" ca="1" si="157">IF(M345&gt;0,N345*100/M345,0)</f>
        <v>65.807652743735957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1058490</v>
      </c>
      <c r="M347" s="870">
        <f t="shared" ca="1" si="158"/>
        <v>787430</v>
      </c>
      <c r="N347" s="870">
        <f t="shared" ca="1" si="158"/>
        <v>518189.2</v>
      </c>
      <c r="O347" s="870">
        <f t="shared" ca="1" si="156"/>
        <v>48.955512097421796</v>
      </c>
      <c r="P347" s="870">
        <f t="shared" ca="1" si="157"/>
        <v>65.807652743735957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974690</v>
      </c>
      <c r="M348" s="864">
        <f t="shared" ca="1" si="159"/>
        <v>703630</v>
      </c>
      <c r="N348" s="864">
        <f t="shared" ca="1" si="159"/>
        <v>434389.2</v>
      </c>
      <c r="O348" s="864">
        <f t="shared" ca="1" si="156"/>
        <v>44.566908452944013</v>
      </c>
      <c r="P348" s="864">
        <f t="shared" ca="1" si="157"/>
        <v>61.735457555817689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IFERROR(__xludf.DUMMYFUNCTION("IMPORTRANGE(""https://docs.google.com/spreadsheets/d/1MeEWN-I1oV_STSDYn1IFDPWt_1FKiwhDph83XaGc0o0/edit?usp=sharing"",""งบพรบ!EW32"")"),974690)</f>
        <v>974690</v>
      </c>
      <c r="M350" s="870">
        <f ca="1">IFERROR(__xludf.DUMMYFUNCTION("IMPORTRANGE(""https://docs.google.com/spreadsheets/d/1MeEWN-I1oV_STSDYn1IFDPWt_1FKiwhDph83XaGc0o0/edit?usp=sharing"",""งบพรบ!FB32"")"),703630)</f>
        <v>703630</v>
      </c>
      <c r="N350" s="870">
        <f ca="1">IFERROR(__xludf.DUMMYFUNCTION("IMPORTRANGE(""https://docs.google.com/spreadsheets/d/1MeEWN-I1oV_STSDYn1IFDPWt_1FKiwhDph83XaGc0o0/edit?usp=sharing"",""งบพรบ!FD32"")"),434389.2)</f>
        <v>434389.2</v>
      </c>
      <c r="O350" s="870">
        <f t="shared" ca="1" si="156"/>
        <v>44.566908452944013</v>
      </c>
      <c r="P350" s="870">
        <f t="shared" ca="1" si="157"/>
        <v>61.735457555817689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83800</v>
      </c>
      <c r="M351" s="864">
        <f t="shared" ca="1" si="160"/>
        <v>83800</v>
      </c>
      <c r="N351" s="864">
        <f t="shared" ca="1" si="160"/>
        <v>83800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IFERROR(__xludf.DUMMYFUNCTION("IMPORTRANGE(""https://docs.google.com/spreadsheets/d/1MeEWN-I1oV_STSDYn1IFDPWt_1FKiwhDph83XaGc0o0/edit?usp=sharing"",""งบพรบ!EZ32"")"),83800)</f>
        <v>83800</v>
      </c>
      <c r="M353" s="870">
        <f ca="1">IFERROR(__xludf.DUMMYFUNCTION("IMPORTRANGE(""https://docs.google.com/spreadsheets/d/1MeEWN-I1oV_STSDYn1IFDPWt_1FKiwhDph83XaGc0o0/edit?usp=sharing"",""งบพรบ!FC32"")"),83800)</f>
        <v>83800</v>
      </c>
      <c r="N353" s="870">
        <f ca="1">IFERROR(__xludf.DUMMYFUNCTION("IMPORTRANGE(""https://docs.google.com/spreadsheets/d/1MeEWN-I1oV_STSDYn1IFDPWt_1FKiwhDph83XaGc0o0/edit?usp=sharing"",""งบพรบ!FE32"")"),83800)</f>
        <v>83800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IFERROR(__xludf.DUMMYFUNCTION("IMPORTRANGE(""https://docs.google.com/spreadsheets/d/1QqKyyYR6Q21VydFLVH3TRQUabQu_ym0Zz7PgGX0-kHA/edit?usp=sharing"",""แผน!EP32"")"),250)</f>
        <v>250</v>
      </c>
      <c r="J355" s="1186">
        <f ca="1">J362</f>
        <v>69</v>
      </c>
      <c r="K355" s="1187">
        <f ca="1">IF(I355&gt;0,J355*100/I355,0)</f>
        <v>27.6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IFERROR(__xludf.DUMMYFUNCTION("IMPORTRANGE(""https://docs.google.com/spreadsheets/d/1XWAQStnk-4SwqDmLtmXYiTMKHgktTP8We1SCoS47DrQ/edit?usp=sharing"",""จัดที่ดิน!W32"")"),190)</f>
        <v>190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IFERROR(__xludf.DUMMYFUNCTION("IMPORTRANGE(""https://docs.google.com/spreadsheets/d/1QqKyyYR6Q21VydFLVH3TRQUabQu_ym0Zz7PgGX0-kHA/edit?usp=sharing"",""แผน!EO32"")"),2500)</f>
        <v>2500</v>
      </c>
      <c r="J359" s="863">
        <f ca="1">IFERROR(__xludf.DUMMYFUNCTION("IMPORTRANGE(""https://docs.google.com/spreadsheets/d/1XWAQStnk-4SwqDmLtmXYiTMKHgktTP8We1SCoS47DrQ/edit?usp=sharing"",""จัดที่ดิน!X32"")"),1570.67)</f>
        <v>1570.67</v>
      </c>
      <c r="K359" s="864">
        <f t="shared" ca="1" si="161"/>
        <v>62.826799999999999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IFERROR(__xludf.DUMMYFUNCTION("IMPORTRANGE(""https://docs.google.com/spreadsheets/d/1QqKyyYR6Q21VydFLVH3TRQUabQu_ym0Zz7PgGX0-kHA/edit?usp=sharing"",""แผน!EP32"")"),250)</f>
        <v>250</v>
      </c>
      <c r="J360" s="863">
        <f ca="1">IFERROR(__xludf.DUMMYFUNCTION("IMPORTRANGE(""https://docs.google.com/spreadsheets/d/1XWAQStnk-4SwqDmLtmXYiTMKHgktTP8We1SCoS47DrQ/edit?usp=sharing"",""จัดที่ดิน!Y32"")"),193)</f>
        <v>193</v>
      </c>
      <c r="K360" s="864">
        <f t="shared" ca="1" si="161"/>
        <v>77.2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IFERROR(__xludf.DUMMYFUNCTION("IMPORTRANGE(""https://docs.google.com/spreadsheets/d/1XWAQStnk-4SwqDmLtmXYiTMKHgktTP8We1SCoS47DrQ/edit?usp=sharing"",""จัดที่ดิน!Z32"")"),1561.33)</f>
        <v>1561.33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IFERROR(__xludf.DUMMYFUNCTION("IMPORTRANGE(""https://docs.google.com/spreadsheets/d/1QqKyyYR6Q21VydFLVH3TRQUabQu_ym0Zz7PgGX0-kHA/edit?usp=sharing"",""แผน!EP32"")"),250)</f>
        <v>250</v>
      </c>
      <c r="J362" s="863">
        <f ca="1">IFERROR(__xludf.DUMMYFUNCTION("IMPORTRANGE(""https://docs.google.com/spreadsheets/d/1XWAQStnk-4SwqDmLtmXYiTMKHgktTP8We1SCoS47DrQ/edit?usp=sharing"",""จัดที่ดิน!AA32"")"),69)</f>
        <v>69</v>
      </c>
      <c r="K362" s="864">
        <f t="shared" ca="1" si="161"/>
        <v>27.6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IFERROR(__xludf.DUMMYFUNCTION("IMPORTRANGE(""https://docs.google.com/spreadsheets/d/1XWAQStnk-4SwqDmLtmXYiTMKHgktTP8We1SCoS47DrQ/edit?usp=sharing"",""จัดที่ดิน!AB32"")"),484.4)</f>
        <v>484.4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1000</v>
      </c>
      <c r="J364" s="1199">
        <f t="shared" ca="1" si="162"/>
        <v>388</v>
      </c>
      <c r="K364" s="1200">
        <f t="shared" ca="1" si="161"/>
        <v>38.799999999999997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IFERROR(__xludf.DUMMYFUNCTION("IMPORTRANGE(""https://docs.google.com/spreadsheets/d/1QqKyyYR6Q21VydFLVH3TRQUabQu_ym0Zz7PgGX0-kHA/edit?usp=sharing"",""แผน!EJ32"")"),50)</f>
        <v>50</v>
      </c>
      <c r="J365" s="1207">
        <f ca="1">J372</f>
        <v>31</v>
      </c>
      <c r="K365" s="1208">
        <f t="shared" ca="1" si="161"/>
        <v>62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IFERROR(__xludf.DUMMYFUNCTION("IMPORTRANGE(""https://docs.google.com/spreadsheets/d/1XWAQStnk-4SwqDmLtmXYiTMKHgktTP8We1SCoS47DrQ/edit?usp=sharing"",""จัดที่ดิน!E32"")"),38)</f>
        <v>38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IFERROR(__xludf.DUMMYFUNCTION("IMPORTRANGE(""https://docs.google.com/spreadsheets/d/1QqKyyYR6Q21VydFLVH3TRQUabQu_ym0Zz7PgGX0-kHA/edit?usp=sharing"",""แผน!EI32"")"),500)</f>
        <v>500</v>
      </c>
      <c r="J369" s="863">
        <f ca="1">IFERROR(__xludf.DUMMYFUNCTION("IMPORTRANGE(""https://docs.google.com/spreadsheets/d/1XWAQStnk-4SwqDmLtmXYiTMKHgktTP8We1SCoS47DrQ/edit?usp=sharing"",""จัดที่ดิน!F32"")"),245.19)</f>
        <v>245.19</v>
      </c>
      <c r="K369" s="864">
        <f t="shared" ca="1" si="163"/>
        <v>49.037999999999997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IFERROR(__xludf.DUMMYFUNCTION("IMPORTRANGE(""https://docs.google.com/spreadsheets/d/1QqKyyYR6Q21VydFLVH3TRQUabQu_ym0Zz7PgGX0-kHA/edit?usp=sharing"",""แผน!EJ32"")"),50)</f>
        <v>50</v>
      </c>
      <c r="J370" s="863">
        <f ca="1">IFERROR(__xludf.DUMMYFUNCTION("IMPORTRANGE(""https://docs.google.com/spreadsheets/d/1XWAQStnk-4SwqDmLtmXYiTMKHgktTP8We1SCoS47DrQ/edit?usp=sharing"",""จัดที่ดิน!G32"")"),41)</f>
        <v>41</v>
      </c>
      <c r="K370" s="864">
        <f t="shared" ca="1" si="163"/>
        <v>82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IFERROR(__xludf.DUMMYFUNCTION("IMPORTRANGE(""https://docs.google.com/spreadsheets/d/1XWAQStnk-4SwqDmLtmXYiTMKHgktTP8We1SCoS47DrQ/edit?usp=sharing"",""จัดที่ดิน!H32"")"),235.85)</f>
        <v>235.85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IFERROR(__xludf.DUMMYFUNCTION("IMPORTRANGE(""https://docs.google.com/spreadsheets/d/1QqKyyYR6Q21VydFLVH3TRQUabQu_ym0Zz7PgGX0-kHA/edit?usp=sharing"",""แผน!EJ32"")"),50)</f>
        <v>50</v>
      </c>
      <c r="J372" s="863">
        <f ca="1">IFERROR(__xludf.DUMMYFUNCTION("IMPORTRANGE(""https://docs.google.com/spreadsheets/d/1XWAQStnk-4SwqDmLtmXYiTMKHgktTP8We1SCoS47DrQ/edit?usp=sharing"",""จัดที่ดิน!I32"")"),31)</f>
        <v>31</v>
      </c>
      <c r="K372" s="864">
        <f t="shared" ca="1" si="163"/>
        <v>62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IFERROR(__xludf.DUMMYFUNCTION("IMPORTRANGE(""https://docs.google.com/spreadsheets/d/1XWAQStnk-4SwqDmLtmXYiTMKHgktTP8We1SCoS47DrQ/edit?usp=sharing"",""จัดที่ดิน!J32"")"),168.25)</f>
        <v>168.25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IFERROR(__xludf.DUMMYFUNCTION("IMPORTRANGE(""https://docs.google.com/spreadsheets/d/1QqKyyYR6Q21VydFLVH3TRQUabQu_ym0Zz7PgGX0-kHA/edit?usp=sharing"",""แผน!EU32"")"),950)</f>
        <v>950</v>
      </c>
      <c r="J374" s="1207">
        <f ca="1">J381</f>
        <v>357</v>
      </c>
      <c r="K374" s="1208">
        <f t="shared" ca="1" si="163"/>
        <v>37.578947368421055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IFERROR(__xludf.DUMMYFUNCTION("IMPORTRANGE(""https://docs.google.com/spreadsheets/d/1XWAQStnk-4SwqDmLtmXYiTMKHgktTP8We1SCoS47DrQ/edit?usp=sharing"",""จัดที่ดิน!AH32"")"),152)</f>
        <v>152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IFERROR(__xludf.DUMMYFUNCTION("IMPORTRANGE(""https://docs.google.com/spreadsheets/d/1QqKyyYR6Q21VydFLVH3TRQUabQu_ym0Zz7PgGX0-kHA/edit?usp=sharing"",""แผน!ET32"")"),2000)</f>
        <v>2000</v>
      </c>
      <c r="J378" s="863">
        <f ca="1">IFERROR(__xludf.DUMMYFUNCTION("IMPORTRANGE(""https://docs.google.com/spreadsheets/d/1XWAQStnk-4SwqDmLtmXYiTMKHgktTP8We1SCoS47DrQ/edit?usp=sharing"",""จัดที่ดิน!AI32"")"),1325.48)</f>
        <v>1325.48</v>
      </c>
      <c r="K378" s="864">
        <f t="shared" ca="1" si="164"/>
        <v>66.274000000000001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IFERROR(__xludf.DUMMYFUNCTION("IMPORTRANGE(""https://docs.google.com/spreadsheets/d/1QqKyyYR6Q21VydFLVH3TRQUabQu_ym0Zz7PgGX0-kHA/edit?usp=sharing"",""แผน!EU32"")"),950)</f>
        <v>950</v>
      </c>
      <c r="J379" s="863">
        <f ca="1">IFERROR(__xludf.DUMMYFUNCTION("IMPORTRANGE(""https://docs.google.com/spreadsheets/d/1XWAQStnk-4SwqDmLtmXYiTMKHgktTP8We1SCoS47DrQ/edit?usp=sharing"",""จัดที่ดิน!AJ32"")"),512)</f>
        <v>512</v>
      </c>
      <c r="K379" s="864">
        <f t="shared" ca="1" si="164"/>
        <v>53.89473684210526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IFERROR(__xludf.DUMMYFUNCTION("IMPORTRANGE(""https://docs.google.com/spreadsheets/d/1XWAQStnk-4SwqDmLtmXYiTMKHgktTP8We1SCoS47DrQ/edit?usp=sharing"",""จัดที่ดิน!AK32"")"),5578.05999999999)</f>
        <v>5578.0599999999904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IFERROR(__xludf.DUMMYFUNCTION("IMPORTRANGE(""https://docs.google.com/spreadsheets/d/1QqKyyYR6Q21VydFLVH3TRQUabQu_ym0Zz7PgGX0-kHA/edit?usp=sharing"",""แผน!EU32"")"),950)</f>
        <v>950</v>
      </c>
      <c r="J381" s="863">
        <f ca="1">IFERROR(__xludf.DUMMYFUNCTION("IMPORTRANGE(""https://docs.google.com/spreadsheets/d/1XWAQStnk-4SwqDmLtmXYiTMKHgktTP8We1SCoS47DrQ/edit?usp=sharing"",""จัดที่ดิน!AL32"")"),357)</f>
        <v>357</v>
      </c>
      <c r="K381" s="864">
        <f t="shared" ca="1" si="164"/>
        <v>37.578947368421055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IFERROR(__xludf.DUMMYFUNCTION("IMPORTRANGE(""https://docs.google.com/spreadsheets/d/1XWAQStnk-4SwqDmLtmXYiTMKHgktTP8We1SCoS47DrQ/edit?usp=sharing"",""จัดที่ดิน!AM32"")"),4126.95)</f>
        <v>4126.95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IFERROR(__xludf.DUMMYFUNCTION("IMPORTRANGE(""https://docs.google.com/spreadsheets/d/1QqKyyYR6Q21VydFLVH3TRQUabQu_ym0Zz7PgGX0-kHA/edit?usp=sharing"",""แผน!EW32"")"),50)</f>
        <v>50</v>
      </c>
      <c r="J385" s="1117">
        <f ca="1">IFERROR(__xludf.DUMMYFUNCTION("IMPORTRANGE(""https://docs.google.com/spreadsheets/d/1XWAQStnk-4SwqDmLtmXYiTMKHgktTP8We1SCoS47DrQ/edit?usp=sharing"",""จัดที่ดิน!AP32"")"),3)</f>
        <v>3</v>
      </c>
      <c r="K385" s="1215">
        <f ca="1">IF(I385&gt;0,J385*100/I385,0)</f>
        <v>6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IFERROR(__xludf.DUMMYFUNCTION("IMPORTRANGE(""https://docs.google.com/spreadsheets/d/1MeEWN-I1oV_STSDYn1IFDPWt_1FKiwhDph83XaGc0o0/edit?usp=sharing"",""งบพรบ!FG32"")"),0)</f>
        <v>0</v>
      </c>
      <c r="M394" s="870">
        <f ca="1">IFERROR(__xludf.DUMMYFUNCTION("IMPORTRANGE(""https://docs.google.com/spreadsheets/d/1MeEWN-I1oV_STSDYn1IFDPWt_1FKiwhDph83XaGc0o0/edit?usp=sharing"",""งบพรบ!FL32"")"),0)</f>
        <v>0</v>
      </c>
      <c r="N394" s="870">
        <f ca="1">IFERROR(__xludf.DUMMYFUNCTION("IMPORTRANGE(""https://docs.google.com/spreadsheets/d/1MeEWN-I1oV_STSDYn1IFDPWt_1FKiwhDph83XaGc0o0/edit?usp=sharing"",""งบพรบ!FN32"")"),0)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IFERROR(__xludf.DUMMYFUNCTION("IMPORTRANGE(""https://docs.google.com/spreadsheets/d/1MeEWN-I1oV_STSDYn1IFDPWt_1FKiwhDph83XaGc0o0/edit?usp=sharing"",""งบพรบ!FJ32"")"),0)</f>
        <v>0</v>
      </c>
      <c r="M397" s="870">
        <f ca="1">IFERROR(__xludf.DUMMYFUNCTION("IMPORTRANGE(""https://docs.google.com/spreadsheets/d/1MeEWN-I1oV_STSDYn1IFDPWt_1FKiwhDph83XaGc0o0/edit?usp=sharing"",""งบพรบ!FM32"")"),0)</f>
        <v>0</v>
      </c>
      <c r="N397" s="870">
        <f ca="1">IFERROR(__xludf.DUMMYFUNCTION("IMPORTRANGE(""https://docs.google.com/spreadsheets/d/1MeEWN-I1oV_STSDYn1IFDPWt_1FKiwhDph83XaGc0o0/edit?usp=sharing"",""งบพรบ!FO32"")"),0)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IFERROR(__xludf.DUMMYFUNCTION("IMPORTRANGE(""https://docs.google.com/spreadsheets/d/1MeEWN-I1oV_STSDYn1IFDPWt_1FKiwhDph83XaGc0o0/edit?usp=sharing"",""งบพรบ!FQ32"")"),0)</f>
        <v>0</v>
      </c>
      <c r="M407" s="870">
        <f ca="1">IFERROR(__xludf.DUMMYFUNCTION("IMPORTRANGE(""https://docs.google.com/spreadsheets/d/1MeEWN-I1oV_STSDYn1IFDPWt_1FKiwhDph83XaGc0o0/edit?usp=sharing"",""งบพรบ!FV32"")"),0)</f>
        <v>0</v>
      </c>
      <c r="N407" s="870">
        <f ca="1">IFERROR(__xludf.DUMMYFUNCTION("IMPORTRANGE(""https://docs.google.com/spreadsheets/d/1MeEWN-I1oV_STSDYn1IFDPWt_1FKiwhDph83XaGc0o0/edit?usp=sharing"",""งบพรบ!FX32"")"),0)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IFERROR(__xludf.DUMMYFUNCTION("IMPORTRANGE(""https://docs.google.com/spreadsheets/d/1MeEWN-I1oV_STSDYn1IFDPWt_1FKiwhDph83XaGc0o0/edit?usp=sharing"",""งบพรบ!FT32"")"),0)</f>
        <v>0</v>
      </c>
      <c r="M410" s="870">
        <f ca="1">IFERROR(__xludf.DUMMYFUNCTION("IMPORTRANGE(""https://docs.google.com/spreadsheets/d/1MeEWN-I1oV_STSDYn1IFDPWt_1FKiwhDph83XaGc0o0/edit?usp=sharing"",""งบพรบ!FW32"")"),0)</f>
        <v>0</v>
      </c>
      <c r="N410" s="870">
        <f ca="1">IFERROR(__xludf.DUMMYFUNCTION("IMPORTRANGE(""https://docs.google.com/spreadsheets/d/1MeEWN-I1oV_STSDYn1IFDPWt_1FKiwhDph83XaGc0o0/edit?usp=sharing"",""งบพรบ!FY32"")"),0)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2862087</v>
      </c>
      <c r="M414" s="1257">
        <f t="shared" si="181"/>
        <v>0</v>
      </c>
      <c r="N414" s="1257">
        <f t="shared" si="181"/>
        <v>775837.58</v>
      </c>
      <c r="O414" s="1257">
        <f ca="1">IF(L414&gt;0,N414*100/L414,0)</f>
        <v>27.107407287060106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78660</v>
      </c>
      <c r="O419" s="972">
        <f t="shared" ref="O419:O424" ca="1" si="185">IF(L419&gt;0,N419*100/L419,0)</f>
        <v>100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78660</v>
      </c>
      <c r="O421" s="870">
        <f t="shared" ca="1" si="185"/>
        <v>100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78660</v>
      </c>
      <c r="O422" s="864">
        <f t="shared" ca="1" si="185"/>
        <v>100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IFERROR(__xludf.DUMMYFUNCTION("IMPORTRANGE(""https://docs.google.com/spreadsheets/d/1QqKyyYR6Q21VydFLVH3TRQUabQu_ym0Zz7PgGX0-kHA/edit?usp=sharing"",""แผน!EY32"")"),78660)</f>
        <v>78660</v>
      </c>
      <c r="M424" s="870">
        <v>0</v>
      </c>
      <c r="N424" s="870">
        <f>N425+N426+N427+N428</f>
        <v>78660</v>
      </c>
      <c r="O424" s="870">
        <f t="shared" ca="1" si="185"/>
        <v>100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48400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f>5760+3000+18000+3500</f>
        <v>30260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IFERROR(__xludf.DUMMYFUNCTION("IMPORTRANGE(""https://docs.google.com/spreadsheets/d/1QqKyyYR6Q21VydFLVH3TRQUabQu_ym0Zz7PgGX0-kHA/edit?usp=sharing"",""แผน!FB32"")"),0)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IFERROR(__xludf.DUMMYFUNCTION("IMPORTRANGE(""https://docs.google.com/spreadsheets/d/1QqKyyYR6Q21VydFLVH3TRQUabQu_ym0Zz7PgGX0-kHA/edit?usp=sharing"",""แผน!FC32"")"),20)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IFERROR(__xludf.DUMMYFUNCTION("IMPORTRANGE(""https://docs.google.com/spreadsheets/d/1QqKyyYR6Q21VydFLVH3TRQUabQu_ym0Zz7PgGX0-kHA/edit?usp=sharing"",""แผน!FD32"")"),0)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IFERROR(__xludf.DUMMYFUNCTION("IMPORTRANGE(""https://docs.google.com/spreadsheets/d/1QqKyyYR6Q21VydFLVH3TRQUabQu_ym0Zz7PgGX0-kHA/edit?usp=sharing"",""แผน!FE32"")"),0)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IFERROR(__xludf.DUMMYFUNCTION("IMPORTRANGE(""https://docs.google.com/spreadsheets/d/1QqKyyYR6Q21VydFLVH3TRQUabQu_ym0Zz7PgGX0-kHA/edit?usp=sharing"",""แผน!FF32"")"),20)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IFERROR(__xludf.DUMMYFUNCTION("IMPORTRANGE(""https://docs.google.com/spreadsheets/d/1QqKyyYR6Q21VydFLVH3TRQUabQu_ym0Zz7PgGX0-kHA/edit?usp=sharing"",""แผน!FG32"")"),1)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IFERROR(__xludf.DUMMYFUNCTION("IMPORTRANGE(""https://docs.google.com/spreadsheets/d/1QqKyyYR6Q21VydFLVH3TRQUabQu_ym0Zz7PgGX0-kHA/edit?usp=sharing"",""แผน!FH32"")"),0)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60</v>
      </c>
      <c r="J442" s="1285">
        <f t="shared" si="195"/>
        <v>60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300</v>
      </c>
      <c r="J443" s="1270">
        <f t="shared" si="196"/>
        <v>300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524600</v>
      </c>
      <c r="M444" s="1000">
        <f t="shared" si="197"/>
        <v>0</v>
      </c>
      <c r="N444" s="1000">
        <f t="shared" si="197"/>
        <v>129485</v>
      </c>
      <c r="O444" s="1000">
        <f t="shared" ref="O444:O449" ca="1" si="198">IF(L444&gt;0,N444*100/L444,0)</f>
        <v>24.682615325962637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524600</v>
      </c>
      <c r="M446" s="870">
        <f t="shared" si="200"/>
        <v>0</v>
      </c>
      <c r="N446" s="870">
        <f t="shared" si="200"/>
        <v>129485</v>
      </c>
      <c r="O446" s="870">
        <f t="shared" ca="1" si="198"/>
        <v>24.682615325962637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524600</v>
      </c>
      <c r="M447" s="864">
        <f t="shared" si="201"/>
        <v>0</v>
      </c>
      <c r="N447" s="864">
        <f t="shared" si="201"/>
        <v>129485</v>
      </c>
      <c r="O447" s="864">
        <f t="shared" ca="1" si="198"/>
        <v>24.682615325962637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IFERROR(__xludf.DUMMYFUNCTION("IMPORTRANGE(""https://docs.google.com/spreadsheets/d/1QqKyyYR6Q21VydFLVH3TRQUabQu_ym0Zz7PgGX0-kHA/edit?usp=sharing"",""แผน!FJ32"")"),524600)</f>
        <v>524600</v>
      </c>
      <c r="M449" s="870">
        <v>0</v>
      </c>
      <c r="N449" s="870">
        <f>N450+N451+N452+N453</f>
        <v>129485</v>
      </c>
      <c r="O449" s="870">
        <f t="shared" ca="1" si="198"/>
        <v>24.682615325962637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57165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f>10800+8960+560</f>
        <v>20320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IFERROR(__xludf.DUMMYFUNCTION("IMPORTRANGE(""https://docs.google.com/spreadsheets/d/1QqKyyYR6Q21VydFLVH3TRQUabQu_ym0Zz7PgGX0-kHA/edit?usp=sharing"",""แผน!FM32"")"),0)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IFERROR(__xludf.DUMMYFUNCTION("IMPORTRANGE(""https://docs.google.com/spreadsheets/d/1QqKyyYR6Q21VydFLVH3TRQUabQu_ym0Zz7PgGX0-kHA/edit?usp=sharing"",""แผน!FN32"")"),60)</f>
        <v>60</v>
      </c>
      <c r="J460" s="992">
        <v>60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IFERROR(__xludf.DUMMYFUNCTION("IMPORTRANGE(""https://docs.google.com/spreadsheets/d/1QqKyyYR6Q21VydFLVH3TRQUabQu_ym0Zz7PgGX0-kHA/edit?usp=sharing"",""แผน!FO32"")"),300)</f>
        <v>300</v>
      </c>
      <c r="J462" s="992">
        <v>300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IFERROR(__xludf.DUMMYFUNCTION("IMPORTRANGE(""https://docs.google.com/spreadsheets/d/1QqKyyYR6Q21VydFLVH3TRQUabQu_ym0Zz7PgGX0-kHA/edit?usp=sharing"",""แผน!FO32"")"),300)</f>
        <v>300</v>
      </c>
      <c r="J463" s="992"/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IFERROR(__xludf.DUMMYFUNCTION("IMPORTRANGE(""https://docs.google.com/spreadsheets/d/1QqKyyYR6Q21VydFLVH3TRQUabQu_ym0Zz7PgGX0-kHA/edit?usp=sharing"",""แผน!FN32"")"),60)</f>
        <v>60</v>
      </c>
      <c r="J464" s="992"/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IFERROR(__xludf.DUMMYFUNCTION("IMPORTRANGE(""https://docs.google.com/spreadsheets/d/1QqKyyYR6Q21VydFLVH3TRQUabQu_ym0Zz7PgGX0-kHA/edit?usp=sharing"",""แผน!FX32"")"),131)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IFERROR(__xludf.DUMMYFUNCTION("IMPORTRANGE(""https://docs.google.com/spreadsheets/d/1QqKyyYR6Q21VydFLVH3TRQUabQu_ym0Zz7PgGX0-kHA/edit?usp=sharing"",""แผน!FW32"")"),1300)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1170468</v>
      </c>
      <c r="M467" s="1000">
        <f t="shared" si="206"/>
        <v>0</v>
      </c>
      <c r="N467" s="1000">
        <f t="shared" si="206"/>
        <v>158134.71</v>
      </c>
      <c r="O467" s="1000">
        <f t="shared" ref="O467:O472" ca="1" si="207">IF(L467&gt;0,N467*100/L467,0)</f>
        <v>13.510383026276669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1170468</v>
      </c>
      <c r="M469" s="870">
        <f t="shared" si="209"/>
        <v>0</v>
      </c>
      <c r="N469" s="870">
        <f t="shared" si="209"/>
        <v>158134.71</v>
      </c>
      <c r="O469" s="870">
        <f t="shared" ca="1" si="207"/>
        <v>13.510383026276669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1170468</v>
      </c>
      <c r="M470" s="864">
        <f t="shared" si="210"/>
        <v>0</v>
      </c>
      <c r="N470" s="864">
        <f t="shared" si="210"/>
        <v>158134.71</v>
      </c>
      <c r="O470" s="864">
        <f t="shared" ca="1" si="207"/>
        <v>13.510383026276669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IFERROR(__xludf.DUMMYFUNCTION("IMPORTRANGE(""https://docs.google.com/spreadsheets/d/1QqKyyYR6Q21VydFLVH3TRQUabQu_ym0Zz7PgGX0-kHA/edit?usp=sharing"",""แผน!FS32"")"),1170468)</f>
        <v>1170468</v>
      </c>
      <c r="M472" s="870">
        <v>0</v>
      </c>
      <c r="N472" s="870">
        <f>N473+N474+N475+N476</f>
        <v>158134.71</v>
      </c>
      <c r="O472" s="870">
        <f t="shared" ca="1" si="207"/>
        <v>13.510383026276669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78699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51535.71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3200+3900+2500+9750+7990+560</f>
        <v>27900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IFERROR(__xludf.DUMMYFUNCTION("IMPORTRANGE(""https://docs.google.com/spreadsheets/d/1QqKyyYR6Q21VydFLVH3TRQUabQu_ym0Zz7PgGX0-kHA/edit?usp=sharing"",""แผน!FV32"")"),0)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IFERROR(__xludf.DUMMYFUNCTION("IMPORTRANGE(""https://docs.google.com/spreadsheets/d/1QqKyyYR6Q21VydFLVH3TRQUabQu_ym0Zz7PgGX0-kHA/edit?usp=sharing"",""แผน!FY32"")"),1170)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117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IFERROR(__xludf.DUMMYFUNCTION("IMPORTRANGE(""https://docs.google.com/spreadsheets/d/1QqKyyYR6Q21VydFLVH3TRQUabQu_ym0Zz7PgGX0-kHA/edit?usp=sharing"",""แผน!FZ32"")"),117)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IFERROR(__xludf.DUMMYFUNCTION("IMPORTRANGE(""https://docs.google.com/spreadsheets/d/1QqKyyYR6Q21VydFLVH3TRQUabQu_ym0Zz7PgGX0-kHA/edit?usp=sharing"",""แผน!GA32"")"),130)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13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IFERROR(__xludf.DUMMYFUNCTION("IMPORTRANGE(""https://docs.google.com/spreadsheets/d/1QqKyyYR6Q21VydFLVH3TRQUabQu_ym0Zz7PgGX0-kHA/edit?usp=sharing"",""แผน!GB32"")"),13)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1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IFERROR(__xludf.DUMMYFUNCTION("IMPORTRANGE(""https://docs.google.com/spreadsheets/d/1QqKyyYR6Q21VydFLVH3TRQUabQu_ym0Zz7PgGX0-kHA/edit?usp=sharing"",""แผน!GC32"")"),1)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IFERROR(__xludf.DUMMYFUNCTION("IMPORTRANGE(""https://docs.google.com/spreadsheets/d/1QqKyyYR6Q21VydFLVH3TRQUabQu_ym0Zz7PgGX0-kHA/edit?usp=sharing"",""แผน!FY32"")"),1170)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IFERROR(__xludf.DUMMYFUNCTION("IMPORTRANGE(""https://docs.google.com/spreadsheets/d/1QqKyyYR6Q21VydFLVH3TRQUabQu_ym0Zz7PgGX0-kHA/edit?usp=sharing"",""แผน!GA32"")"),130)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30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277260</v>
      </c>
      <c r="M523" s="1000">
        <f t="shared" si="226"/>
        <v>0</v>
      </c>
      <c r="N523" s="1000">
        <f t="shared" si="226"/>
        <v>34384</v>
      </c>
      <c r="O523" s="1000">
        <f t="shared" ref="O523:O528" ca="1" si="227">IF(L523&gt;0,N523*100/L523,0)</f>
        <v>12.401356127822261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277260</v>
      </c>
      <c r="M525" s="870">
        <f t="shared" si="229"/>
        <v>0</v>
      </c>
      <c r="N525" s="870">
        <f t="shared" si="229"/>
        <v>34384</v>
      </c>
      <c r="O525" s="870">
        <f t="shared" ca="1" si="227"/>
        <v>12.401356127822261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277260</v>
      </c>
      <c r="M526" s="864">
        <f t="shared" si="230"/>
        <v>0</v>
      </c>
      <c r="N526" s="864">
        <f t="shared" si="230"/>
        <v>34384</v>
      </c>
      <c r="O526" s="864">
        <f t="shared" ca="1" si="227"/>
        <v>12.401356127822261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IFERROR(__xludf.DUMMYFUNCTION("IMPORTRANGE(""https://docs.google.com/spreadsheets/d/1QqKyyYR6Q21VydFLVH3TRQUabQu_ym0Zz7PgGX0-kHA/edit?usp=sharing"",""แผน!GQ32"")"),277260)</f>
        <v>277260</v>
      </c>
      <c r="M528" s="870">
        <v>0</v>
      </c>
      <c r="N528" s="870">
        <f>N529+N530+N531+N532</f>
        <v>34384</v>
      </c>
      <c r="O528" s="870">
        <f t="shared" ca="1" si="227"/>
        <v>12.401356127822261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19950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f>2994+7500+3940</f>
        <v>14434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IFERROR(__xludf.DUMMYFUNCTION("IMPORTRANGE(""https://docs.google.com/spreadsheets/d/1QqKyyYR6Q21VydFLVH3TRQUabQu_ym0Zz7PgGX0-kHA/edit?usp=sharing"",""แผน!GT32"")"),0)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IFERROR(__xludf.DUMMYFUNCTION("IMPORTRANGE(""https://docs.google.com/spreadsheets/d/1QqKyyYR6Q21VydFLVH3TRQUabQu_ym0Zz7PgGX0-kHA/edit?usp=sharing"",""แผน!GU32"")"),30)</f>
        <v>30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IFERROR(__xludf.DUMMYFUNCTION("IMPORTRANGE(""https://docs.google.com/spreadsheets/d/1QqKyyYR6Q21VydFLVH3TRQUabQu_ym0Zz7PgGX0-kHA/edit?usp=sharing"",""แผน!GV32"")"),30)</f>
        <v>30</v>
      </c>
      <c r="J538" s="992">
        <v>30</v>
      </c>
      <c r="K538" s="864">
        <f t="shared" ca="1" si="234"/>
        <v>100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IFERROR(__xludf.DUMMYFUNCTION("IMPORTRANGE(""https://docs.google.com/spreadsheets/d/1QqKyyYR6Q21VydFLVH3TRQUabQu_ym0Zz7PgGX0-kHA/edit?usp=sharing"",""แผน!GW32"")"),0)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IFERROR(__xludf.DUMMYFUNCTION("IMPORTRANGE(""https://docs.google.com/spreadsheets/d/1QqKyyYR6Q21VydFLVH3TRQUabQu_ym0Zz7PgGX0-kHA/edit?usp=sharing"",""แผน!GX32"")"),0)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IFERROR(__xludf.DUMMYFUNCTION("IMPORTRANGE(""https://docs.google.com/spreadsheets/d/1QqKyyYR6Q21VydFLVH3TRQUabQu_ym0Zz7PgGX0-kHA/edit?usp=sharing"",""แผน!GY32"")"),30)</f>
        <v>30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IFERROR(__xludf.DUMMYFUNCTION("IMPORTRANGE(""https://docs.google.com/spreadsheets/d/1QqKyyYR6Q21VydFLVH3TRQUabQu_ym0Zz7PgGX0-kHA/edit?usp=sharing"",""แผน!GZ32"")"),30)</f>
        <v>30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43969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406544</v>
      </c>
      <c r="M544" s="972">
        <f t="shared" si="236"/>
        <v>0</v>
      </c>
      <c r="N544" s="972">
        <f t="shared" si="236"/>
        <v>147780</v>
      </c>
      <c r="O544" s="972">
        <f t="shared" ref="O544:O549" ca="1" si="237">IF(L544&gt;0,N544*100/L544,0)</f>
        <v>36.350308945649182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406544</v>
      </c>
      <c r="M546" s="870">
        <f t="shared" si="240"/>
        <v>0</v>
      </c>
      <c r="N546" s="870">
        <f t="shared" si="240"/>
        <v>147780</v>
      </c>
      <c r="O546" s="870">
        <f t="shared" ca="1" si="237"/>
        <v>36.350308945649182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406544</v>
      </c>
      <c r="M547" s="864">
        <f t="shared" si="241"/>
        <v>0</v>
      </c>
      <c r="N547" s="864">
        <f t="shared" si="241"/>
        <v>147780</v>
      </c>
      <c r="O547" s="864">
        <f t="shared" ca="1" si="237"/>
        <v>36.350308945649182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IFERROR(__xludf.DUMMYFUNCTION("IMPORTRANGE(""https://docs.google.com/spreadsheets/d/1QqKyyYR6Q21VydFLVH3TRQUabQu_ym0Zz7PgGX0-kHA/edit?usp=sharing"",""แผน!HB32"")"),406544)</f>
        <v>406544</v>
      </c>
      <c r="M549" s="870">
        <v>0</v>
      </c>
      <c r="N549" s="870">
        <f>N550+N551+N552+N553+N554</f>
        <v>147780</v>
      </c>
      <c r="O549" s="870">
        <f t="shared" ca="1" si="237"/>
        <v>36.350308945649182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16125+29390+9480+30538+5247+5000</f>
        <v>95780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IFERROR(__xludf.DUMMYFUNCTION("IMPORTRANGE(""https://docs.google.com/spreadsheets/d/1QqKyyYR6Q21VydFLVH3TRQUabQu_ym0Zz7PgGX0-kHA/edit?usp=sharing"",""แผน!HF32"")"),0)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43969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IFERROR(__xludf.DUMMYFUNCTION("IMPORTRANGE(""https://docs.google.com/spreadsheets/d/1QqKyyYR6Q21VydFLVH3TRQUabQu_ym0Zz7PgGX0-kHA/edit?usp=sharing"",""แผน!HH32"")"),43969)</f>
        <v>43969</v>
      </c>
      <c r="J560" s="998">
        <f t="shared" ref="J560:J561" si="247">J562+J564+J566</f>
        <v>43969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IFERROR(__xludf.DUMMYFUNCTION("IMPORTRANGE(""https://docs.google.com/spreadsheets/d/1QqKyyYR6Q21VydFLVH3TRQUabQu_ym0Zz7PgGX0-kHA/edit?usp=sharing"",""แผน!HG32"")"),4713)</f>
        <v>4713</v>
      </c>
      <c r="J561" s="998">
        <f t="shared" si="247"/>
        <v>4713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34293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3886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8547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699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1129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128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IFERROR(__xludf.DUMMYFUNCTION("IMPORTRANGE(""https://docs.google.com/spreadsheets/d/1QqKyyYR6Q21VydFLVH3TRQUabQu_ym0Zz7PgGX0-kHA/edit?usp=sharing"",""แผน!HH32"")"),43969)</f>
        <v>43969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IFERROR(__xludf.DUMMYFUNCTION("IMPORTRANGE(""https://docs.google.com/spreadsheets/d/1QqKyyYR6Q21VydFLVH3TRQUabQu_ym0Zz7PgGX0-kHA/edit?usp=sharing"",""แผน!HG32"")"),4713)</f>
        <v>4713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IFERROR(__xludf.DUMMYFUNCTION("IMPORTRANGE(""https://docs.google.com/spreadsheets/d/1QqKyyYR6Q21VydFLVH3TRQUabQu_ym0Zz7PgGX0-kHA/edit?usp=sharing"",""แผน!HH32"")"),43969)</f>
        <v>43969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IFERROR(__xludf.DUMMYFUNCTION("IMPORTRANGE(""https://docs.google.com/spreadsheets/d/1QqKyyYR6Q21VydFLVH3TRQUabQu_ym0Zz7PgGX0-kHA/edit?usp=sharing"",""แผน!HG32"")"),4713)</f>
        <v>4713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1340.38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IFERROR(__xludf.DUMMYFUNCTION("IMPORTRANGE(""https://docs.google.com/spreadsheets/d/1QqKyyYR6Q21VydFLVH3TRQUabQu_ym0Zz7PgGX0-kHA/edit?usp=sharing"",""แผน!HJ32"")"),1340.38)</f>
        <v>1340.38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IFERROR(__xludf.DUMMYFUNCTION("IMPORTRANGE(""https://docs.google.com/spreadsheets/d/1QqKyyYR6Q21VydFLVH3TRQUabQu_ym0Zz7PgGX0-kHA/edit?usp=sharing"",""แผน!HI32"")"),137)</f>
        <v>137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IFERROR(__xludf.DUMMYFUNCTION("IMPORTRANGE(""https://docs.google.com/spreadsheets/d/1QqKyyYR6Q21VydFLVH3TRQUabQu_ym0Zz7PgGX0-kHA/edit?usp=sharing"",""แผน!HL32"")"),4)</f>
        <v>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IFERROR(__xludf.DUMMYFUNCTION("IMPORTRANGE(""https://docs.google.com/spreadsheets/d/1QqKyyYR6Q21VydFLVH3TRQUabQu_ym0Zz7PgGX0-kHA/edit?usp=sharing"",""แผน!HK32"")"),3)</f>
        <v>3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100</v>
      </c>
      <c r="J628" s="1398">
        <f t="shared" ca="1" si="262"/>
        <v>42</v>
      </c>
      <c r="K628" s="1399">
        <f ca="1">IF(I628&gt;0,J628*100/I628,0)</f>
        <v>42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381515</v>
      </c>
      <c r="M629" s="1000">
        <f t="shared" si="263"/>
        <v>0</v>
      </c>
      <c r="N629" s="1000">
        <f t="shared" si="263"/>
        <v>223703.87</v>
      </c>
      <c r="O629" s="1000">
        <f t="shared" ref="O629:O634" ca="1" si="264">IF(L629&gt;0,N629*100/L629,0)</f>
        <v>58.635668322346433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381515</v>
      </c>
      <c r="M631" s="870">
        <f t="shared" si="266"/>
        <v>0</v>
      </c>
      <c r="N631" s="870">
        <f t="shared" si="266"/>
        <v>223703.87</v>
      </c>
      <c r="O631" s="870">
        <f t="shared" ca="1" si="264"/>
        <v>58.635668322346433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381515</v>
      </c>
      <c r="M632" s="864">
        <f t="shared" si="267"/>
        <v>0</v>
      </c>
      <c r="N632" s="864">
        <f t="shared" si="267"/>
        <v>223703.87</v>
      </c>
      <c r="O632" s="864">
        <f t="shared" ca="1" si="264"/>
        <v>58.635668322346433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IFERROR(__xludf.DUMMYFUNCTION("IMPORTRANGE(""https://docs.google.com/spreadsheets/d/1QqKyyYR6Q21VydFLVH3TRQUabQu_ym0Zz7PgGX0-kHA/edit?usp=sharing"",""แผน!HN32"")"),381515)</f>
        <v>381515</v>
      </c>
      <c r="M634" s="870">
        <v>0</v>
      </c>
      <c r="N634" s="870">
        <f>N635+N636+N637+N638</f>
        <v>223703.87</v>
      </c>
      <c r="O634" s="870">
        <f t="shared" ca="1" si="264"/>
        <v>58.635668322346433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49858.29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38180+20280+70250+1750+15000+21500+6885.58</f>
        <v>173845.58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IFERROR(__xludf.DUMMYFUNCTION("IMPORTRANGE(""https://docs.google.com/spreadsheets/d/1QqKyyYR6Q21VydFLVH3TRQUabQu_ym0Zz7PgGX0-kHA/edit?usp=sharing"",""แผน!HQ32"")"),0)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IFERROR(__xludf.DUMMYFUNCTION("IMPORTRANGE(""https://docs.google.com/spreadsheets/d/1QqKyyYR6Q21VydFLVH3TRQUabQu_ym0Zz7PgGX0-kHA/edit?usp=sharing"",""แผน!HR32"")"),0)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IFERROR(__xludf.DUMMYFUNCTION("IMPORTRANGE(""https://docs.google.com/spreadsheets/d/1QqKyyYR6Q21VydFLVH3TRQUabQu_ym0Zz7PgGX0-kHA/edit?usp=sharing"",""แผน!HR32"")"),0)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IFERROR(__xludf.DUMMYFUNCTION("IMPORTRANGE(""https://docs.google.com/spreadsheets/d/1XWAQStnk-4SwqDmLtmXYiTMKHgktTP8We1SCoS47DrQ/edit?usp=sharing"",""จัดที่ดิน!AS32"")"),115)</f>
        <v>115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IFERROR(__xludf.DUMMYFUNCTION("IMPORTRANGE(""https://docs.google.com/spreadsheets/d/1XWAQStnk-4SwqDmLtmXYiTMKHgktTP8We1SCoS47DrQ/edit?usp=sharing"",""จัดที่ดิน!AT32"")"),66)</f>
        <v>66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IFERROR(__xludf.DUMMYFUNCTION("IMPORTRANGE(""https://docs.google.com/spreadsheets/d/1QqKyyYR6Q21VydFLVH3TRQUabQu_ym0Zz7PgGX0-kHA/edit?usp=sharing"",""แผน!HS32"")"),100)</f>
        <v>100</v>
      </c>
      <c r="J647" s="863">
        <f ca="1">IFERROR(__xludf.DUMMYFUNCTION("IMPORTRANGE(""https://docs.google.com/spreadsheets/d/1XWAQStnk-4SwqDmLtmXYiTMKHgktTP8We1SCoS47DrQ/edit?usp=sharing"",""จัดที่ดิน!AU32"")"),99)</f>
        <v>99</v>
      </c>
      <c r="K647" s="978">
        <f t="shared" ca="1" si="271"/>
        <v>99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IFERROR(__xludf.DUMMYFUNCTION("IMPORTRANGE(""https://docs.google.com/spreadsheets/d/1XWAQStnk-4SwqDmLtmXYiTMKHgktTP8We1SCoS47DrQ/edit?usp=sharing"",""จัดที่ดิน!AV32"")"),59.08)</f>
        <v>59.08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IFERROR(__xludf.DUMMYFUNCTION("IMPORTRANGE(""https://docs.google.com/spreadsheets/d/1QqKyyYR6Q21VydFLVH3TRQUabQu_ym0Zz7PgGX0-kHA/edit?usp=sharing"",""แผน!HS32"")"),100)</f>
        <v>100</v>
      </c>
      <c r="J649" s="863">
        <f ca="1">IFERROR(__xludf.DUMMYFUNCTION("IMPORTRANGE(""https://docs.google.com/spreadsheets/d/1XWAQStnk-4SwqDmLtmXYiTMKHgktTP8We1SCoS47DrQ/edit?usp=sharing"",""จัดที่ดิน!AW32"")"),42)</f>
        <v>42</v>
      </c>
      <c r="K649" s="978">
        <f t="shared" ca="1" si="271"/>
        <v>42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IFERROR(__xludf.DUMMYFUNCTION("IMPORTRANGE(""https://docs.google.com/spreadsheets/d/1XWAQStnk-4SwqDmLtmXYiTMKHgktTP8We1SCoS47DrQ/edit?usp=sharing"",""จัดที่ดิน!AX32"")"),25.11)</f>
        <v>25.11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IFERROR(__xludf.DUMMYFUNCTION("IMPORTRANGE(""https://docs.google.com/spreadsheets/d/1QqKyyYR6Q21VydFLVH3TRQUabQu_ym0Zz7PgGX0-kHA/edit?usp=sharing"",""แผน!HS32"")"),100)</f>
        <v>100</v>
      </c>
      <c r="J651" s="863">
        <f ca="1">IFERROR(__xludf.DUMMYFUNCTION("IMPORTRANGE(""https://docs.google.com/spreadsheets/d/1XWAQStnk-4SwqDmLtmXYiTMKHgktTP8We1SCoS47DrQ/edit?usp=sharing"",""จัดที่ดิน!AY32"")"),42)</f>
        <v>42</v>
      </c>
      <c r="K651" s="978">
        <f t="shared" ca="1" si="271"/>
        <v>42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IFERROR(__xludf.DUMMYFUNCTION("IMPORTRANGE(""https://docs.google.com/spreadsheets/d/1XWAQStnk-4SwqDmLtmXYiTMKHgktTP8We1SCoS47DrQ/edit?usp=sharing"",""จัดที่ดิน!AZ32"")"),25.11)</f>
        <v>25.11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3690</v>
      </c>
      <c r="O655" s="1000">
        <f t="shared" ref="O655:O660" ca="1" si="274">IF(L655&gt;0,N655*100/L655,0)</f>
        <v>23.653846153846153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3690</v>
      </c>
      <c r="O657" s="870">
        <f t="shared" ca="1" si="274"/>
        <v>23.653846153846153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3690</v>
      </c>
      <c r="O658" s="864">
        <f t="shared" ca="1" si="274"/>
        <v>23.653846153846153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IFERROR(__xludf.DUMMYFUNCTION("IMPORTRANGE(""https://docs.google.com/spreadsheets/d/1QqKyyYR6Q21VydFLVH3TRQUabQu_ym0Zz7PgGX0-kHA/edit?usp=sharing"",""แผน!HV32"")"),15600)</f>
        <v>15600</v>
      </c>
      <c r="M660" s="870">
        <v>0</v>
      </c>
      <c r="N660" s="870">
        <f>N661+N662+N663+N664</f>
        <v>3690</v>
      </c>
      <c r="O660" s="870">
        <f t="shared" ca="1" si="274"/>
        <v>23.653846153846153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f>3100+590</f>
        <v>3690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IFERROR(__xludf.DUMMYFUNCTION("IMPORTRANGE(""https://docs.google.com/spreadsheets/d/1QqKyyYR6Q21VydFLVH3TRQUabQu_ym0Zz7PgGX0-kHA/edit?usp=sharing"",""แผน!IA32"")"),100)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IFERROR(__xludf.DUMMYFUNCTION("IMPORTRANGE(""https://docs.google.com/spreadsheets/d/1QqKyyYR6Q21VydFLVH3TRQUabQu_ym0Zz7PgGX0-kHA/edit?usp=sharing"",""แผน!HZ32"")"),6)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IFERROR(__xludf.DUMMYFUNCTION("IMPORTRANGE(""https://docs.google.com/spreadsheets/d/1QqKyyYR6Q21VydFLVH3TRQUabQu_ym0Zz7PgGX0-kHA/edit?usp=sharing"",""แผน!HZ32"")"),6)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154</v>
      </c>
      <c r="K672" s="864">
        <f t="shared" ref="K672:K675" ca="1" si="281">IF(I$669&gt;0,J672*100/I$669,0)</f>
        <v>154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IFERROR(__xludf.DUMMYFUNCTION("IMPORTRANGE(""https://docs.google.com/spreadsheets/d/1QqKyyYR6Q21VydFLVH3TRQUabQu_ym0Zz7PgGX0-kHA/edit?usp=sharing"",""แผน!IB32"")"),0)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7440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7440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7440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IFERROR(__xludf.DUMMYFUNCTION("IMPORTRANGE(""https://docs.google.com/spreadsheets/d/1QqKyyYR6Q21VydFLVH3TRQUabQu_ym0Zz7PgGX0-kHA/edit?usp=sharing"",""แผน!HW32"")"),7440)</f>
        <v>7440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IFERROR(__xludf.DUMMYFUNCTION("IMPORTRANGE(""https://docs.google.com/spreadsheets/d/1QqKyyYR6Q21VydFLVH3TRQUabQu_ym0Zz7PgGX0-kHA/edit?usp=sharing"",""แผน!IC32"")"),0)</f>
        <v>0</v>
      </c>
      <c r="J699" s="863">
        <f ca="1">IFERROR(__xludf.DUMMYFUNCTION("IMPORTRANGE(""https://docs.google.com/spreadsheets/d/1XWAQStnk-4SwqDmLtmXYiTMKHgktTP8We1SCoS47DrQ/edit?usp=sharing"",""จัดที่ดิน!BB32"")"),0)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IFERROR(__xludf.DUMMYFUNCTION("IMPORTRANGE(""https://docs.google.com/spreadsheets/d/1QqKyyYR6Q21VydFLVH3TRQUabQu_ym0Zz7PgGX0-kHA/edit?usp=sharing"",""แผน!ID32"")"),50)</f>
        <v>50</v>
      </c>
      <c r="J700" s="863">
        <f ca="1">IFERROR(__xludf.DUMMYFUNCTION("IMPORTRANGE(""https://docs.google.com/spreadsheets/d/1XWAQStnk-4SwqDmLtmXYiTMKHgktTP8We1SCoS47DrQ/edit?usp=sharing"",""จัดที่ดิน!BD32"")"),0)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IFERROR(__xludf.DUMMYFUNCTION("IMPORTRANGE(""https://docs.google.com/spreadsheets/d/1QqKyyYR6Q21VydFLVH3TRQUabQu_ym0Zz7PgGX0-kHA/edit?usp=sharing"",""แผน!IE32"")"),4)</f>
        <v>4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IFERROR(__xludf.DUMMYFUNCTION("IMPORTRANGE(""https://docs.google.com/spreadsheets/d/1QqKyyYR6Q21VydFLVH3TRQUabQu_ym0Zz7PgGX0-kHA/edit?usp=sharing"",""แผน!IF32"")"),4)</f>
        <v>4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IFERROR(__xludf.DUMMYFUNCTION("IMPORTRANGE(""https://docs.google.com/spreadsheets/d/1QqKyyYR6Q21VydFLVH3TRQUabQu_ym0Zz7PgGX0-kHA/edit?usp=sharing"",""แผน!IG32"")"),0)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IFERROR(__xludf.DUMMYFUNCTION("IMPORTRANGE(""https://docs.google.com/spreadsheets/d/1QqKyyYR6Q21VydFLVH3TRQUabQu_ym0Zz7PgGX0-kHA/edit?usp=sharing"",""แผน!IH32"")"),0)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IFERROR(__xludf.DUMMYFUNCTION("IMPORTRANGE(""https://docs.google.com/spreadsheets/d/1XWAQStnk-4SwqDmLtmXYiTMKHgktTP8We1SCoS47DrQ/edit?usp=sharing"",""จัดที่ดิน!BF32"")"),0)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IFERROR(__xludf.DUMMYFUNCTION("IMPORTRANGE(""https://docs.google.com/spreadsheets/d/1XWAQStnk-4SwqDmLtmXYiTMKHgktTP8We1SCoS47DrQ/edit?usp=sharing"",""จัดที่ดิน!BG32"")"),0)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IFERROR(__xludf.DUMMYFUNCTION("IMPORTRANGE(""https://docs.google.com/spreadsheets/d/1QqKyyYR6Q21VydFLVH3TRQUabQu_ym0Zz7PgGX0-kHA/edit?usp=sharing"",""แผน!II32"")"),0)</f>
        <v>0</v>
      </c>
      <c r="J720" s="863">
        <f ca="1">IFERROR(__xludf.DUMMYFUNCTION("IMPORTRANGE(""https://docs.google.com/spreadsheets/d/1XWAQStnk-4SwqDmLtmXYiTMKHgktTP8We1SCoS47DrQ/edit?usp=sharing"",""จัดที่ดิน!BH32"")"),0)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IFERROR(__xludf.DUMMYFUNCTION("IMPORTRANGE(""https://docs.google.com/spreadsheets/d/1QqKyyYR6Q21VydFLVH3TRQUabQu_ym0Zz7PgGX0-kHA/edit?usp=sharing"",""แผน!IJ32"")"),3)</f>
        <v>3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IFERROR(__xludf.DUMMYFUNCTION("IMPORTRANGE(""https://docs.google.com/spreadsheets/d/1QqKyyYR6Q21VydFLVH3TRQUabQu_ym0Zz7PgGX0-kHA/edit?usp=sharing"",""แผน!IK32"")"),2)</f>
        <v>2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IFERROR(__xludf.DUMMYFUNCTION("IMPORTRANGE(""https://docs.google.com/spreadsheets/d/1QqKyyYR6Q21VydFLVH3TRQUabQu_ym0Zz7PgGX0-kHA/edit?usp=sharing"",""แผน!IL32"")"),3)</f>
        <v>3</v>
      </c>
      <c r="J723" s="863">
        <f ca="1">IFERROR(__xludf.DUMMYFUNCTION("IMPORTRANGE(""https://docs.google.com/spreadsheets/d/1XWAQStnk-4SwqDmLtmXYiTMKHgktTP8We1SCoS47DrQ/edit?usp=sharing"",""จัดที่ดิน!BM32"")"),0)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IFERROR(__xludf.DUMMYFUNCTION("IMPORTRANGE(""https://docs.google.com/spreadsheets/d/1XWAQStnk-4SwqDmLtmXYiTMKHgktTP8We1SCoS47DrQ/edit?usp=sharing"",""จัดที่ดิน!BN32"")"),0)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IFERROR(__xludf.DUMMYFUNCTION("IMPORTRANGE(""https://docs.google.com/spreadsheets/d/1QqKyyYR6Q21VydFLVH3TRQUabQu_ym0Zz7PgGX0-kHA/edit?usp=sharing"",""แผน!IM32"")"),2)</f>
        <v>2</v>
      </c>
      <c r="J725" s="863">
        <f ca="1">IFERROR(__xludf.DUMMYFUNCTION("IMPORTRANGE(""https://docs.google.com/spreadsheets/d/1XWAQStnk-4SwqDmLtmXYiTMKHgktTP8We1SCoS47DrQ/edit?usp=sharing"",""จัดที่ดิน!BO32"")"),0)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IFERROR(__xludf.DUMMYFUNCTION("IMPORTRANGE(""https://docs.google.com/spreadsheets/d/1QqKyyYR6Q21VydFLVH3TRQUabQu_ym0Zz7PgGX0-kHA/edit?usp=sharing"",""แผน!IN32"")"),0)</f>
        <v>0</v>
      </c>
      <c r="J726" s="863">
        <f ca="1">IFERROR(__xludf.DUMMYFUNCTION("IMPORTRANGE(""https://docs.google.com/spreadsheets/d/1XWAQStnk-4SwqDmLtmXYiTMKHgktTP8We1SCoS47DrQ/edit?usp=sharing"",""จัดที่ดิน!BR32"")"),0)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IFERROR(__xludf.DUMMYFUNCTION("IMPORTRANGE(""https://docs.google.com/spreadsheets/d/1XWAQStnk-4SwqDmLtmXYiTMKHgktTP8We1SCoS47DrQ/edit?usp=sharing"",""จัดที่ดิน!BS32"")"),0)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IFERROR(__xludf.DUMMYFUNCTION("IMPORTRANGE(""https://docs.google.com/spreadsheets/d/1QqKyyYR6Q21VydFLVH3TRQUabQu_ym0Zz7PgGX0-kHA/edit?usp=sharing"",""แผน!IO32"")"),0)</f>
        <v>0</v>
      </c>
      <c r="J728" s="863">
        <f ca="1">IFERROR(__xludf.DUMMYFUNCTION("IMPORTRANGE(""https://docs.google.com/spreadsheets/d/1XWAQStnk-4SwqDmLtmXYiTMKHgktTP8We1SCoS47DrQ/edit?usp=sharing"",""จัดที่ดิน!BT32"")"),0)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IFERROR(__xludf.DUMMYFUNCTION("IMPORTRANGE(""https://docs.google.com/spreadsheets/d/1QqKyyYR6Q21VydFLVH3TRQUabQu_ym0Zz7PgGX0-kHA/edit?usp=sharing"",""แผน!IP32"")"),0)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IFERROR(__xludf.DUMMYFUNCTION("IMPORTRANGE(""https://docs.google.com/spreadsheets/d/1QqKyyYR6Q21VydFLVH3TRQUabQu_ym0Zz7PgGX0-kHA/edit?usp=sharing"",""แผน!JJ32"")"),0)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IFERROR(__xludf.DUMMYFUNCTION("IMPORTRANGE(""https://docs.google.com/spreadsheets/d/1QqKyyYR6Q21VydFLVH3TRQUabQu_ym0Zz7PgGX0-kHA/edit?usp=sharing"",""แผน!JN32"")"),0)</f>
        <v>0</v>
      </c>
      <c r="J800" s="977">
        <f ca="1">IFERROR(__xludf.DUMMYFUNCTION("IMPORTRANGE(""https://docs.google.com/spreadsheets/d/1MaWodYyGHDf7siQLGxnXhG4mBNTNIuy296niS2xXulU/edit?usp=sharing"",""RTK!H32"")"),0)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IFERROR(__xludf.DUMMYFUNCTION("IMPORTRANGE(""https://docs.google.com/spreadsheets/d/1MaWodYyGHDf7siQLGxnXhG4mBNTNIuy296niS2xXulU/edit?usp=sharing"",""RTK!I32"")"),0)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335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863">
        <f ca="1">IFERROR(__xludf.DUMMYFUNCTION("IMPORTRANGE(""https://docs.google.com/spreadsheets/d/19vJNZY_5yjcGF2XGBMNZRCAIB0Kwfpjp8YEOfu-bneM/edit?usp=sharing"",""งานกองทุน!F32"")"),2521354.43)</f>
        <v>2521354.4300000002</v>
      </c>
      <c r="K821" s="864">
        <f t="shared" ref="K821:K828" ca="1" si="335">IF(I821&gt;0,J821*100/I821,0)</f>
        <v>66.947503162559343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IFERROR(__xludf.DUMMYFUNCTION("IMPORTRANGE(""https://docs.google.com/spreadsheets/d/19vJNZY_5yjcGF2XGBMNZRCAIB0Kwfpjp8YEOfu-bneM/edit?usp=sharing"",""งานกองทุน!C32"")"),247)</f>
        <v>247</v>
      </c>
      <c r="J822" s="863">
        <f ca="1">IFERROR(__xludf.DUMMYFUNCTION("IMPORTRANGE(""https://docs.google.com/spreadsheets/d/19vJNZY_5yjcGF2XGBMNZRCAIB0Kwfpjp8YEOfu-bneM/edit?usp=sharing"",""งานกองทุน!E32"")"),146)</f>
        <v>146</v>
      </c>
      <c r="K822" s="864">
        <f t="shared" ca="1" si="335"/>
        <v>59.109311740890689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863">
        <f ca="1">IFERROR(__xludf.DUMMYFUNCTION("IMPORTRANGE(""https://docs.google.com/spreadsheets/d/19vJNZY_5yjcGF2XGBMNZRCAIB0Kwfpjp8YEOfu-bneM/edit?usp=sharing"",""งานกองทุน!K32"")"),984014.97)</f>
        <v>984014.97</v>
      </c>
      <c r="K823" s="864">
        <f t="shared" ca="1" si="335"/>
        <v>9.6540515033104448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IFERROR(__xludf.DUMMYFUNCTION("IMPORTRANGE(""https://docs.google.com/spreadsheets/d/19vJNZY_5yjcGF2XGBMNZRCAIB0Kwfpjp8YEOfu-bneM/edit?usp=sharing"",""งานกองทุน!H32"")"),488)</f>
        <v>488</v>
      </c>
      <c r="J824" s="863">
        <f ca="1">IFERROR(__xludf.DUMMYFUNCTION("IMPORTRANGE(""https://docs.google.com/spreadsheets/d/19vJNZY_5yjcGF2XGBMNZRCAIB0Kwfpjp8YEOfu-bneM/edit?usp=sharing"",""งานกองทุน!J32"")"),118)</f>
        <v>118</v>
      </c>
      <c r="K824" s="864">
        <f t="shared" ca="1" si="335"/>
        <v>24.180327868852459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863">
        <f ca="1">IFERROR(__xludf.DUMMYFUNCTION("IMPORTRANGE(""https://docs.google.com/spreadsheets/d/19vJNZY_5yjcGF2XGBMNZRCAIB0Kwfpjp8YEOfu-bneM/edit?usp=sharing"",""งานกองทุน!P32"")"),232261.84)</f>
        <v>232261.84</v>
      </c>
      <c r="K825" s="864">
        <f t="shared" ca="1" si="335"/>
        <v>9.1909829012349853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IFERROR(__xludf.DUMMYFUNCTION("IMPORTRANGE(""https://docs.google.com/spreadsheets/d/19vJNZY_5yjcGF2XGBMNZRCAIB0Kwfpjp8YEOfu-bneM/edit?usp=sharing"",""งานกองทุน!M32"")"),185)</f>
        <v>185</v>
      </c>
      <c r="J826" s="863">
        <f ca="1">IFERROR(__xludf.DUMMYFUNCTION("IMPORTRANGE(""https://docs.google.com/spreadsheets/d/19vJNZY_5yjcGF2XGBMNZRCAIB0Kwfpjp8YEOfu-bneM/edit?usp=sharing"",""งานกองทุน!O32"")"),78)</f>
        <v>78</v>
      </c>
      <c r="K826" s="864">
        <f t="shared" ca="1" si="335"/>
        <v>42.162162162162161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IFERROR(__xludf.DUMMYFUNCTION("IMPORTRANGE(""https://docs.google.com/spreadsheets/d/19vJNZY_5yjcGF2XGBMNZRCAIB0Kwfpjp8YEOfu-bneM/edit?usp=sharing"",""งานกองทุน!S32"")"),5730000)</f>
        <v>5730000</v>
      </c>
      <c r="J827" s="863">
        <f ca="1">IFERROR(__xludf.DUMMYFUNCTION("IMPORTRANGE(""https://docs.google.com/spreadsheets/d/19vJNZY_5yjcGF2XGBMNZRCAIB0Kwfpjp8YEOfu-bneM/edit?usp=sharing"",""งานกองทุน!U32"")"),3645000)</f>
        <v>3645000</v>
      </c>
      <c r="K827" s="864">
        <f t="shared" ca="1" si="335"/>
        <v>63.612565445026178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IFERROR(__xludf.DUMMYFUNCTION("IMPORTRANGE(""https://docs.google.com/spreadsheets/d/19vJNZY_5yjcGF2XGBMNZRCAIB0Kwfpjp8YEOfu-bneM/edit?usp=sharing"",""งานกองทุน!R32"")"),229)</f>
        <v>229</v>
      </c>
      <c r="J828" s="1117">
        <f ca="1">IFERROR(__xludf.DUMMYFUNCTION("IMPORTRANGE(""https://docs.google.com/spreadsheets/d/19vJNZY_5yjcGF2XGBMNZRCAIB0Kwfpjp8YEOfu-bneM/edit?usp=sharing"",""งานกองทุน!T32"")"),86)</f>
        <v>86</v>
      </c>
      <c r="K828" s="1215">
        <f t="shared" ca="1" si="335"/>
        <v>37.554585152838428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0EC4-62DA-4CA2-8F1D-9EF8E53668A6}">
  <sheetPr>
    <outlinePr summaryBelow="0" summaryRight="0"/>
    <pageSetUpPr fitToPage="1"/>
  </sheetPr>
  <dimension ref="A1:Z828"/>
  <sheetViews>
    <sheetView view="pageBreakPreview" topLeftCell="B1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336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6245247</v>
      </c>
      <c r="M8" s="850">
        <f t="shared" ca="1" si="0"/>
        <v>3907252</v>
      </c>
      <c r="N8" s="850">
        <f t="shared" ca="1" si="0"/>
        <v>2811630.3199999994</v>
      </c>
      <c r="O8" s="850">
        <f t="shared" ref="O8:O16" ca="1" si="1">IF(L8&gt;0,N8*100/L8,0)</f>
        <v>45.020322174607337</v>
      </c>
      <c r="P8" s="850">
        <f t="shared" ref="P8:P16" ca="1" si="2">IF(M8&gt;0,N8*100/M8,0)</f>
        <v>71.959277773739686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6245247</v>
      </c>
      <c r="M10" s="857">
        <f t="shared" ca="1" si="3"/>
        <v>3907252</v>
      </c>
      <c r="N10" s="857">
        <f t="shared" ca="1" si="3"/>
        <v>2811630.3199999994</v>
      </c>
      <c r="O10" s="857">
        <f t="shared" ca="1" si="1"/>
        <v>45.020322174607337</v>
      </c>
      <c r="P10" s="857">
        <f t="shared" ca="1" si="2"/>
        <v>71.959277773739686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6115247</v>
      </c>
      <c r="M11" s="864">
        <f t="shared" ca="1" si="4"/>
        <v>3777852</v>
      </c>
      <c r="N11" s="864">
        <f t="shared" ca="1" si="4"/>
        <v>2682230.3199999994</v>
      </c>
      <c r="O11" s="864">
        <f t="shared" ca="1" si="1"/>
        <v>43.861357031040598</v>
      </c>
      <c r="P11" s="864">
        <f t="shared" ca="1" si="2"/>
        <v>70.998819434959316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6115247</v>
      </c>
      <c r="M13" s="870">
        <f t="shared" ca="1" si="5"/>
        <v>3777852</v>
      </c>
      <c r="N13" s="870">
        <f t="shared" ca="1" si="5"/>
        <v>2682230.3199999994</v>
      </c>
      <c r="O13" s="870">
        <f t="shared" ca="1" si="1"/>
        <v>43.861357031040598</v>
      </c>
      <c r="P13" s="870">
        <f t="shared" ca="1" si="2"/>
        <v>70.998819434959316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130000</v>
      </c>
      <c r="M14" s="864">
        <f t="shared" ca="1" si="6"/>
        <v>129400</v>
      </c>
      <c r="N14" s="864">
        <f t="shared" ca="1" si="6"/>
        <v>129400</v>
      </c>
      <c r="O14" s="864">
        <f t="shared" ca="1" si="1"/>
        <v>99.538461538461533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130000</v>
      </c>
      <c r="M16" s="876">
        <f t="shared" ca="1" si="7"/>
        <v>129400</v>
      </c>
      <c r="N16" s="876">
        <f t="shared" ca="1" si="7"/>
        <v>129400</v>
      </c>
      <c r="O16" s="876">
        <f t="shared" ca="1" si="1"/>
        <v>99.538461538461533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4585736</v>
      </c>
      <c r="M18" s="850">
        <f t="shared" ca="1" si="8"/>
        <v>3907252</v>
      </c>
      <c r="N18" s="850">
        <f t="shared" ca="1" si="8"/>
        <v>2455140.6899999995</v>
      </c>
      <c r="O18" s="850">
        <f t="shared" ref="O18:O26" ca="1" si="9">IF(L18&gt;0,N18*100/L18,0)</f>
        <v>53.53864003510013</v>
      </c>
      <c r="P18" s="850">
        <f t="shared" ref="P18:P26" ca="1" si="10">IF(M18&gt;0,N18*100/M18,0)</f>
        <v>62.835483608428618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4585736</v>
      </c>
      <c r="M20" s="857">
        <f t="shared" ca="1" si="11"/>
        <v>3907252</v>
      </c>
      <c r="N20" s="857">
        <f t="shared" ca="1" si="11"/>
        <v>2455140.6899999995</v>
      </c>
      <c r="O20" s="857">
        <f t="shared" ca="1" si="9"/>
        <v>53.53864003510013</v>
      </c>
      <c r="P20" s="857">
        <f t="shared" ca="1" si="10"/>
        <v>62.835483608428618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4455736</v>
      </c>
      <c r="M21" s="864">
        <f t="shared" ca="1" si="12"/>
        <v>3777852</v>
      </c>
      <c r="N21" s="864">
        <f t="shared" ca="1" si="12"/>
        <v>2325740.6899999995</v>
      </c>
      <c r="O21" s="864">
        <f t="shared" ca="1" si="9"/>
        <v>52.196554957475023</v>
      </c>
      <c r="P21" s="864">
        <f t="shared" ca="1" si="10"/>
        <v>61.562514624712655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4455736</v>
      </c>
      <c r="M23" s="870">
        <f t="shared" ca="1" si="13"/>
        <v>3777852</v>
      </c>
      <c r="N23" s="870">
        <f t="shared" ca="1" si="13"/>
        <v>2325740.6899999995</v>
      </c>
      <c r="O23" s="870">
        <f t="shared" ca="1" si="9"/>
        <v>52.196554957475023</v>
      </c>
      <c r="P23" s="870">
        <f t="shared" ca="1" si="10"/>
        <v>61.562514624712655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130000</v>
      </c>
      <c r="M24" s="864">
        <f t="shared" ca="1" si="14"/>
        <v>129400</v>
      </c>
      <c r="N24" s="864">
        <f t="shared" ca="1" si="14"/>
        <v>129400</v>
      </c>
      <c r="O24" s="864">
        <f t="shared" ca="1" si="9"/>
        <v>99.538461538461533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130000</v>
      </c>
      <c r="M26" s="876">
        <f t="shared" ca="1" si="15"/>
        <v>129400</v>
      </c>
      <c r="N26" s="876">
        <f t="shared" ca="1" si="15"/>
        <v>129400</v>
      </c>
      <c r="O26" s="876">
        <f t="shared" ca="1" si="9"/>
        <v>99.538461538461533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1659511</v>
      </c>
      <c r="M28" s="850">
        <f t="shared" si="16"/>
        <v>0</v>
      </c>
      <c r="N28" s="850">
        <f t="shared" si="16"/>
        <v>356489.63</v>
      </c>
      <c r="O28" s="850">
        <f t="shared" ref="O28:O37" ca="1" si="17">IF(L28&gt;0,N28*100/L28,0)</f>
        <v>21.481606931198407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1659511</v>
      </c>
      <c r="M30" s="857">
        <f t="shared" si="19"/>
        <v>0</v>
      </c>
      <c r="N30" s="857">
        <f t="shared" si="19"/>
        <v>356489.63</v>
      </c>
      <c r="O30" s="857">
        <f t="shared" ca="1" si="17"/>
        <v>21.481606931198407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1659511</v>
      </c>
      <c r="M31" s="864">
        <f t="shared" si="20"/>
        <v>0</v>
      </c>
      <c r="N31" s="864">
        <f t="shared" si="20"/>
        <v>356489.63</v>
      </c>
      <c r="O31" s="864">
        <f t="shared" ca="1" si="17"/>
        <v>21.481606931198407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1659511</v>
      </c>
      <c r="M33" s="870">
        <f t="shared" si="21"/>
        <v>0</v>
      </c>
      <c r="N33" s="870">
        <f t="shared" si="21"/>
        <v>356489.63</v>
      </c>
      <c r="O33" s="870">
        <f t="shared" ca="1" si="17"/>
        <v>21.481606931198407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4585736</v>
      </c>
      <c r="M37" s="883">
        <f t="shared" ca="1" si="24"/>
        <v>3907252</v>
      </c>
      <c r="N37" s="883">
        <f t="shared" ca="1" si="24"/>
        <v>2455140.6899999995</v>
      </c>
      <c r="O37" s="883">
        <f t="shared" ca="1" si="17"/>
        <v>53.53864003510013</v>
      </c>
      <c r="P37" s="883">
        <f t="shared" ca="1" si="18"/>
        <v>62.835483608428618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789046</v>
      </c>
      <c r="M41" s="908">
        <f t="shared" ca="1" si="25"/>
        <v>794107</v>
      </c>
      <c r="N41" s="908">
        <f t="shared" ca="1" si="25"/>
        <v>441158.57</v>
      </c>
      <c r="O41" s="908">
        <f t="shared" ref="O41:O49" ca="1" si="26">IF(L41&gt;0,N41*100/L41,0)</f>
        <v>55.910374046633528</v>
      </c>
      <c r="P41" s="908">
        <f t="shared" ref="P41:P49" ca="1" si="27">IF(M41&gt;0,N41*100/M41,0)</f>
        <v>55.554046243138522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789046</v>
      </c>
      <c r="M43" s="914">
        <f t="shared" ca="1" si="28"/>
        <v>794107</v>
      </c>
      <c r="N43" s="914">
        <f t="shared" ca="1" si="28"/>
        <v>441158.57</v>
      </c>
      <c r="O43" s="914">
        <f t="shared" ca="1" si="26"/>
        <v>55.910374046633528</v>
      </c>
      <c r="P43" s="914">
        <f t="shared" ca="1" si="27"/>
        <v>55.554046243138522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789046</v>
      </c>
      <c r="M44" s="864">
        <f t="shared" ca="1" si="29"/>
        <v>794107</v>
      </c>
      <c r="N44" s="864">
        <f t="shared" ca="1" si="29"/>
        <v>441158.57</v>
      </c>
      <c r="O44" s="864">
        <f t="shared" ca="1" si="26"/>
        <v>55.910374046633528</v>
      </c>
      <c r="P44" s="864">
        <f t="shared" ca="1" si="27"/>
        <v>55.554046243138522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IFERROR(__xludf.DUMMYFUNCTION("IMPORTRANGE(""https://docs.google.com/spreadsheets/d/1MeEWN-I1oV_STSDYn1IFDPWt_1FKiwhDph83XaGc0o0/edit?usp=sharing"",""งบพรบ!M33"")"),789046)</f>
        <v>789046</v>
      </c>
      <c r="M46" s="870">
        <f ca="1">IFERROR(__xludf.DUMMYFUNCTION("IMPORTRANGE(""https://docs.google.com/spreadsheets/d/1MeEWN-I1oV_STSDYn1IFDPWt_1FKiwhDph83XaGc0o0/edit?usp=sharing"",""งบพรบ!R33"")"),794107)</f>
        <v>794107</v>
      </c>
      <c r="N46" s="870">
        <f ca="1">IFERROR(__xludf.DUMMYFUNCTION("IMPORTRANGE(""https://docs.google.com/spreadsheets/d/1MeEWN-I1oV_STSDYn1IFDPWt_1FKiwhDph83XaGc0o0/edit?usp=sharing"",""งบพรบ!T33"")"),441158.57)</f>
        <v>441158.57</v>
      </c>
      <c r="O46" s="870">
        <f t="shared" ca="1" si="26"/>
        <v>55.910374046633528</v>
      </c>
      <c r="P46" s="870">
        <f t="shared" ca="1" si="27"/>
        <v>55.554046243138522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IFERROR(__xludf.DUMMYFUNCTION("IMPORTRANGE(""https://docs.google.com/spreadsheets/d/1MeEWN-I1oV_STSDYn1IFDPWt_1FKiwhDph83XaGc0o0/edit?usp=sharing"",""งบพรบ!P33"")"),0)</f>
        <v>0</v>
      </c>
      <c r="M49" s="876">
        <f ca="1">IFERROR(__xludf.DUMMYFUNCTION("IMPORTRANGE(""https://docs.google.com/spreadsheets/d/1MeEWN-I1oV_STSDYn1IFDPWt_1FKiwhDph83XaGc0o0/edit?usp=sharing"",""งบพรบ!S33"")"),0)</f>
        <v>0</v>
      </c>
      <c r="N49" s="876">
        <f ca="1">IFERROR(__xludf.DUMMYFUNCTION("IMPORTRANGE(""https://docs.google.com/spreadsheets/d/1MeEWN-I1oV_STSDYn1IFDPWt_1FKiwhDph83XaGc0o0/edit?usp=sharing"",""งบพรบ!U33"")"),0)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921900</v>
      </c>
      <c r="M53" s="936">
        <f t="shared" ca="1" si="31"/>
        <v>699475</v>
      </c>
      <c r="N53" s="936">
        <f t="shared" ca="1" si="31"/>
        <v>571696.66</v>
      </c>
      <c r="O53" s="936">
        <f t="shared" ref="O53:O61" ca="1" si="32">IF(L53&gt;0,N53*100/L53,0)</f>
        <v>62.012871244169652</v>
      </c>
      <c r="P53" s="936">
        <f t="shared" ref="P53:P61" ca="1" si="33">IF(M53&gt;0,N53*100/M53,0)</f>
        <v>81.732250616533832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921900</v>
      </c>
      <c r="M55" s="942">
        <f t="shared" ca="1" si="34"/>
        <v>699475</v>
      </c>
      <c r="N55" s="942">
        <f t="shared" ca="1" si="34"/>
        <v>571696.66</v>
      </c>
      <c r="O55" s="942">
        <f t="shared" ca="1" si="32"/>
        <v>62.012871244169652</v>
      </c>
      <c r="P55" s="942">
        <f t="shared" ca="1" si="33"/>
        <v>81.732250616533832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889700</v>
      </c>
      <c r="M56" s="864">
        <f t="shared" ca="1" si="35"/>
        <v>667275</v>
      </c>
      <c r="N56" s="864">
        <f t="shared" ca="1" si="35"/>
        <v>539496.66</v>
      </c>
      <c r="O56" s="864">
        <f t="shared" ca="1" si="32"/>
        <v>60.638042036641565</v>
      </c>
      <c r="P56" s="864">
        <f t="shared" ca="1" si="33"/>
        <v>80.850722715522082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IFERROR(__xludf.DUMMYFUNCTION("IMPORTRANGE(""https://docs.google.com/spreadsheets/d/1MeEWN-I1oV_STSDYn1IFDPWt_1FKiwhDph83XaGc0o0/edit?usp=sharing"",""งบพรบ!W33"")"),889700)</f>
        <v>889700</v>
      </c>
      <c r="M58" s="870">
        <f ca="1">IFERROR(__xludf.DUMMYFUNCTION("IMPORTRANGE(""https://docs.google.com/spreadsheets/d/1MeEWN-I1oV_STSDYn1IFDPWt_1FKiwhDph83XaGc0o0/edit?usp=sharing"",""งบพรบ!AB33"")"),667275)</f>
        <v>667275</v>
      </c>
      <c r="N58" s="870">
        <f ca="1">IFERROR(__xludf.DUMMYFUNCTION("IMPORTRANGE(""https://docs.google.com/spreadsheets/d/1MeEWN-I1oV_STSDYn1IFDPWt_1FKiwhDph83XaGc0o0/edit?usp=sharing"",""งบพรบ!AD33"")"),539496.66)</f>
        <v>539496.66</v>
      </c>
      <c r="O58" s="870">
        <f t="shared" ca="1" si="32"/>
        <v>60.638042036641565</v>
      </c>
      <c r="P58" s="870">
        <f t="shared" ca="1" si="33"/>
        <v>80.850722715522082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32200</v>
      </c>
      <c r="M59" s="864">
        <f t="shared" ca="1" si="36"/>
        <v>32200</v>
      </c>
      <c r="N59" s="864">
        <f t="shared" ca="1" si="36"/>
        <v>32200</v>
      </c>
      <c r="O59" s="864">
        <f t="shared" ca="1" si="32"/>
        <v>100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IFERROR(__xludf.DUMMYFUNCTION("IMPORTRANGE(""https://docs.google.com/spreadsheets/d/1MeEWN-I1oV_STSDYn1IFDPWt_1FKiwhDph83XaGc0o0/edit?usp=sharing"",""งบพรบ!Z33"")"),32200)</f>
        <v>32200</v>
      </c>
      <c r="M61" s="876">
        <f ca="1">IFERROR(__xludf.DUMMYFUNCTION("IMPORTRANGE(""https://docs.google.com/spreadsheets/d/1MeEWN-I1oV_STSDYn1IFDPWt_1FKiwhDph83XaGc0o0/edit?usp=sharing"",""งบพรบ!AC33"")"),32200)</f>
        <v>32200</v>
      </c>
      <c r="N61" s="876">
        <f ca="1">IFERROR(__xludf.DUMMYFUNCTION("IMPORTRANGE(""https://docs.google.com/spreadsheets/d/1MeEWN-I1oV_STSDYn1IFDPWt_1FKiwhDph83XaGc0o0/edit?usp=sharing"",""งบพรบ!AE33"")"),32200)</f>
        <v>32200</v>
      </c>
      <c r="O61" s="876">
        <f t="shared" ca="1" si="32"/>
        <v>100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30</v>
      </c>
      <c r="J65" s="962">
        <f t="shared" si="37"/>
        <v>30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1012000</v>
      </c>
      <c r="M66" s="972">
        <f t="shared" ca="1" si="39"/>
        <v>787480</v>
      </c>
      <c r="N66" s="972">
        <f t="shared" ca="1" si="39"/>
        <v>495829.69</v>
      </c>
      <c r="O66" s="972">
        <f t="shared" ref="O66:O74" ca="1" si="40">IF(L66&gt;0,N66*100/L66,0)</f>
        <v>48.995028656126479</v>
      </c>
      <c r="P66" s="972">
        <f t="shared" ref="P66:P74" ca="1" si="41">IF(M66&gt;0,N66*100/M66,0)</f>
        <v>62.964099405699194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1012000</v>
      </c>
      <c r="M68" s="870">
        <f t="shared" ca="1" si="42"/>
        <v>787480</v>
      </c>
      <c r="N68" s="870">
        <f t="shared" ca="1" si="42"/>
        <v>495829.69</v>
      </c>
      <c r="O68" s="870">
        <f t="shared" ca="1" si="40"/>
        <v>48.995028656126479</v>
      </c>
      <c r="P68" s="870">
        <f t="shared" ca="1" si="41"/>
        <v>62.964099405699194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1012000</v>
      </c>
      <c r="M69" s="864">
        <f t="shared" ca="1" si="43"/>
        <v>787480</v>
      </c>
      <c r="N69" s="864">
        <f t="shared" ca="1" si="43"/>
        <v>495829.69</v>
      </c>
      <c r="O69" s="864">
        <f t="shared" ca="1" si="40"/>
        <v>48.995028656126479</v>
      </c>
      <c r="P69" s="864">
        <f t="shared" ca="1" si="41"/>
        <v>62.964099405699194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IFERROR(__xludf.DUMMYFUNCTION("IMPORTRANGE(""https://docs.google.com/spreadsheets/d/1MeEWN-I1oV_STSDYn1IFDPWt_1FKiwhDph83XaGc0o0/edit?usp=sharing"",""งบพรบ!AG33"")"),1012000)</f>
        <v>1012000</v>
      </c>
      <c r="M71" s="870">
        <f ca="1">IFERROR(__xludf.DUMMYFUNCTION("IMPORTRANGE(""https://docs.google.com/spreadsheets/d/1MeEWN-I1oV_STSDYn1IFDPWt_1FKiwhDph83XaGc0o0/edit?usp=sharing"",""งบพรบ!AL33"")"),787480)</f>
        <v>787480</v>
      </c>
      <c r="N71" s="870">
        <f ca="1">IFERROR(__xludf.DUMMYFUNCTION("IMPORTRANGE(""https://docs.google.com/spreadsheets/d/1MeEWN-I1oV_STSDYn1IFDPWt_1FKiwhDph83XaGc0o0/edit?usp=sharing"",""งบพรบ!AN33"")"),495829.69)</f>
        <v>495829.69</v>
      </c>
      <c r="O71" s="870">
        <f t="shared" ca="1" si="40"/>
        <v>48.995028656126479</v>
      </c>
      <c r="P71" s="870">
        <f t="shared" ca="1" si="41"/>
        <v>62.964099405699194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IFERROR(__xludf.DUMMYFUNCTION("IMPORTRANGE(""https://docs.google.com/spreadsheets/d/1MeEWN-I1oV_STSDYn1IFDPWt_1FKiwhDph83XaGc0o0/edit?usp=sharing"",""งบพรบ!AJ33"")"),0)</f>
        <v>0</v>
      </c>
      <c r="M74" s="870">
        <f ca="1">IFERROR(__xludf.DUMMYFUNCTION("IMPORTRANGE(""https://docs.google.com/spreadsheets/d/1MeEWN-I1oV_STSDYn1IFDPWt_1FKiwhDph83XaGc0o0/edit?usp=sharing"",""งบพรบ!AM33"")"),0)</f>
        <v>0</v>
      </c>
      <c r="N74" s="870">
        <f ca="1">IFERROR(__xludf.DUMMYFUNCTION("IMPORTRANGE(""https://docs.google.com/spreadsheets/d/1MeEWN-I1oV_STSDYn1IFDPWt_1FKiwhDph83XaGc0o0/edit?usp=sharing"",""งบพรบ!AO33"")"),0)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30</v>
      </c>
      <c r="J77" s="863">
        <f t="shared" si="45"/>
        <v>30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IFERROR(__xludf.DUMMYFUNCTION("IMPORTRANGE(""https://docs.google.com/spreadsheets/d/1QqKyyYR6Q21VydFLVH3TRQUabQu_ym0Zz7PgGX0-kHA/edit?usp=sharing"",""แผน!H33"")"),0)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IFERROR(__xludf.DUMMYFUNCTION("IMPORTRANGE(""https://docs.google.com/spreadsheets/d/1QqKyyYR6Q21VydFLVH3TRQUabQu_ym0Zz7PgGX0-kHA/edit?usp=sharing"",""แผน!I33"")"),0)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IFERROR(__xludf.DUMMYFUNCTION("IMPORTRANGE(""https://docs.google.com/spreadsheets/d/1QqKyyYR6Q21VydFLVH3TRQUabQu_ym0Zz7PgGX0-kHA/edit?usp=sharing"",""แผน!F33"")"),1)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IFERROR(__xludf.DUMMYFUNCTION("IMPORTRANGE(""https://docs.google.com/spreadsheets/d/1QqKyyYR6Q21VydFLVH3TRQUabQu_ym0Zz7PgGX0-kHA/edit?usp=sharing"",""แผน!G33"")"),30)</f>
        <v>30</v>
      </c>
      <c r="J81" s="992">
        <v>30</v>
      </c>
      <c r="K81" s="978">
        <f t="shared" ca="1" si="46"/>
        <v>100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IFERROR(__xludf.DUMMYFUNCTION("IMPORTRANGE(""https://docs.google.com/spreadsheets/d/1QqKyyYR6Q21VydFLVH3TRQUabQu_ym0Zz7PgGX0-kHA/edit?usp=sharing"",""แผน!D33"")"),0)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IFERROR(__xludf.DUMMYFUNCTION("IMPORTRANGE(""https://docs.google.com/spreadsheets/d/1QqKyyYR6Q21VydFLVH3TRQUabQu_ym0Zz7PgGX0-kHA/edit?usp=sharing"",""แผน!E33"")"),0)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IFERROR(__xludf.DUMMYFUNCTION("IMPORTRANGE(""https://docs.google.com/spreadsheets/d/1QqKyyYR6Q21VydFLVH3TRQUabQu_ym0Zz7PgGX0-kHA/edit?usp=sharing"",""แผน!J33"")"),1)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60</v>
      </c>
      <c r="J86" s="962">
        <f t="shared" si="47"/>
        <v>60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20</v>
      </c>
      <c r="J87" s="962">
        <f t="shared" si="47"/>
        <v>20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111180</v>
      </c>
      <c r="M88" s="972">
        <f t="shared" ca="1" si="49"/>
        <v>101480</v>
      </c>
      <c r="N88" s="972">
        <f t="shared" ca="1" si="49"/>
        <v>65847.88</v>
      </c>
      <c r="O88" s="972">
        <f t="shared" ref="O88:O96" ca="1" si="50">IF(L88&gt;0,N88*100/L88,0)</f>
        <v>59.22637164957726</v>
      </c>
      <c r="P88" s="972">
        <f t="shared" ref="P88:P96" ca="1" si="51">IF(M88&gt;0,N88*100/M88,0)</f>
        <v>64.887544343713046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111180</v>
      </c>
      <c r="M90" s="870">
        <f t="shared" ca="1" si="52"/>
        <v>101480</v>
      </c>
      <c r="N90" s="870">
        <f t="shared" ca="1" si="52"/>
        <v>65847.88</v>
      </c>
      <c r="O90" s="870">
        <f t="shared" ca="1" si="50"/>
        <v>59.22637164957726</v>
      </c>
      <c r="P90" s="870">
        <f t="shared" ca="1" si="51"/>
        <v>64.887544343713046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111180</v>
      </c>
      <c r="M91" s="864">
        <f t="shared" ca="1" si="53"/>
        <v>101480</v>
      </c>
      <c r="N91" s="864">
        <f t="shared" ca="1" si="53"/>
        <v>65847.88</v>
      </c>
      <c r="O91" s="864">
        <f t="shared" ca="1" si="50"/>
        <v>59.22637164957726</v>
      </c>
      <c r="P91" s="864">
        <f t="shared" ca="1" si="51"/>
        <v>64.887544343713046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IFERROR(__xludf.DUMMYFUNCTION("IMPORTRANGE(""https://docs.google.com/spreadsheets/d/1MeEWN-I1oV_STSDYn1IFDPWt_1FKiwhDph83XaGc0o0/edit?usp=sharing"",""งบพรบ!AQ33"")"),111180)</f>
        <v>111180</v>
      </c>
      <c r="M93" s="870">
        <f ca="1">IFERROR(__xludf.DUMMYFUNCTION("IMPORTRANGE(""https://docs.google.com/spreadsheets/d/1MeEWN-I1oV_STSDYn1IFDPWt_1FKiwhDph83XaGc0o0/edit?usp=sharing"",""งบพรบ!AV33"")"),101480)</f>
        <v>101480</v>
      </c>
      <c r="N93" s="870">
        <f ca="1">IFERROR(__xludf.DUMMYFUNCTION("IMPORTRANGE(""https://docs.google.com/spreadsheets/d/1MeEWN-I1oV_STSDYn1IFDPWt_1FKiwhDph83XaGc0o0/edit?usp=sharing"",""งบพรบ!AX33"")"),65847.88)</f>
        <v>65847.88</v>
      </c>
      <c r="O93" s="870">
        <f t="shared" ca="1" si="50"/>
        <v>59.22637164957726</v>
      </c>
      <c r="P93" s="870">
        <f t="shared" ca="1" si="51"/>
        <v>64.887544343713046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IFERROR(__xludf.DUMMYFUNCTION("IMPORTRANGE(""https://docs.google.com/spreadsheets/d/1MeEWN-I1oV_STSDYn1IFDPWt_1FKiwhDph83XaGc0o0/edit?usp=sharing"",""งบพรบ!AT33"")"),0)</f>
        <v>0</v>
      </c>
      <c r="M96" s="870">
        <f ca="1">IFERROR(__xludf.DUMMYFUNCTION("IMPORTRANGE(""https://docs.google.com/spreadsheets/d/1MeEWN-I1oV_STSDYn1IFDPWt_1FKiwhDph83XaGc0o0/edit?usp=sharing"",""งบพรบ!AW33"")"),0)</f>
        <v>0</v>
      </c>
      <c r="N96" s="870">
        <f ca="1">IFERROR(__xludf.DUMMYFUNCTION("IMPORTRANGE(""https://docs.google.com/spreadsheets/d/1MeEWN-I1oV_STSDYn1IFDPWt_1FKiwhDph83XaGc0o0/edit?usp=sharing"",""งบพรบ!AY33"")"),0)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IFERROR(__xludf.DUMMYFUNCTION("IMPORTRANGE(""https://docs.google.com/spreadsheets/d/1QqKyyYR6Q21VydFLVH3TRQUabQu_ym0Zz7PgGX0-kHA/edit?usp=sharing"",""แผน!K33"")"),60)</f>
        <v>60</v>
      </c>
      <c r="J98" s="863">
        <f>J102</f>
        <v>60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IFERROR(__xludf.DUMMYFUNCTION("IMPORTRANGE(""https://docs.google.com/spreadsheets/d/1QqKyyYR6Q21VydFLVH3TRQUabQu_ym0Zz7PgGX0-kHA/edit?usp=sharing"",""แผน!L33"")"),20)</f>
        <v>20</v>
      </c>
      <c r="J99" s="863">
        <f>J104</f>
        <v>20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IFERROR(__xludf.DUMMYFUNCTION("IMPORTRANGE(""https://docs.google.com/spreadsheets/d/1QqKyyYR6Q21VydFLVH3TRQUabQu_ym0Zz7PgGX0-kHA/edit?usp=sharing"",""แผน!M33"")"),2)</f>
        <v>2</v>
      </c>
      <c r="J100" s="863">
        <f>J107+J110</f>
        <v>1</v>
      </c>
      <c r="K100" s="864">
        <f t="shared" ca="1" si="55"/>
        <v>50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IFERROR(__xludf.DUMMYFUNCTION("IMPORTRANGE(""https://docs.google.com/spreadsheets/d/1QqKyyYR6Q21VydFLVH3TRQUabQu_ym0Zz7PgGX0-kHA/edit?usp=sharing"",""แผน!N33"")"),60)</f>
        <v>60</v>
      </c>
      <c r="J102" s="992">
        <v>60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IFERROR(__xludf.DUMMYFUNCTION("IMPORTRANGE(""https://docs.google.com/spreadsheets/d/1QqKyyYR6Q21VydFLVH3TRQUabQu_ym0Zz7PgGX0-kHA/edit?usp=sharing"",""แผน!O33"")"),20)</f>
        <v>20</v>
      </c>
      <c r="J103" s="992">
        <v>20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IFERROR(__xludf.DUMMYFUNCTION("IMPORTRANGE(""https://docs.google.com/spreadsheets/d/1QqKyyYR6Q21VydFLVH3TRQUabQu_ym0Zz7PgGX0-kHA/edit?usp=sharing"",""แผน!O33"")"),20)</f>
        <v>20</v>
      </c>
      <c r="J104" s="992">
        <v>20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IFERROR(__xludf.DUMMYFUNCTION("IMPORTRANGE(""https://docs.google.com/spreadsheets/d/1QqKyyYR6Q21VydFLVH3TRQUabQu_ym0Zz7PgGX0-kHA/edit?usp=sharing"",""แผน!P33"")"),1)</f>
        <v>1</v>
      </c>
      <c r="J106" s="992">
        <v>1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IFERROR(__xludf.DUMMYFUNCTION("IMPORTRANGE(""https://docs.google.com/spreadsheets/d/1QqKyyYR6Q21VydFLVH3TRQUabQu_ym0Zz7PgGX0-kHA/edit?usp=sharing"",""แผน!P33"")"),1)</f>
        <v>1</v>
      </c>
      <c r="J107" s="992">
        <v>1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IFERROR(__xludf.DUMMYFUNCTION("IMPORTRANGE(""https://docs.google.com/spreadsheets/d/1QqKyyYR6Q21VydFLVH3TRQUabQu_ym0Zz7PgGX0-kHA/edit?usp=sharing"",""แผน!Q33"")"),1)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IFERROR(__xludf.DUMMYFUNCTION("IMPORTRANGE(""https://docs.google.com/spreadsheets/d/1QqKyyYR6Q21VydFLVH3TRQUabQu_ym0Zz7PgGX0-kHA/edit?usp=sharing"",""แผน!Q33"")"),1)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IFERROR(__xludf.DUMMYFUNCTION("IMPORTRANGE(""https://docs.google.com/spreadsheets/d/1QqKyyYR6Q21VydFLVH3TRQUabQu_ym0Zz7PgGX0-kHA/edit?usp=sharing"",""แผน!R33"")"),20)</f>
        <v>20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IFERROR(__xludf.DUMMYFUNCTION("IMPORTRANGE(""https://docs.google.com/spreadsheets/d/1QqKyyYR6Q21VydFLVH3TRQUabQu_ym0Zz7PgGX0-kHA/edit?usp=sharing"",""แผน!R33"")"),20)</f>
        <v>20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IFERROR(__xludf.DUMMYFUNCTION("IMPORTRANGE(""https://docs.google.com/spreadsheets/d/1QqKyyYR6Q21VydFLVH3TRQUabQu_ym0Zz7PgGX0-kHA/edit?usp=sharing"",""แผน!R33"")"),20)</f>
        <v>20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IFERROR(__xludf.DUMMYFUNCTION("IMPORTRANGE(""https://docs.google.com/spreadsheets/d/1QqKyyYR6Q21VydFLVH3TRQUabQu_ym0Zz7PgGX0-kHA/edit?usp=sharing"",""แผน!S33"")"),1)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IFERROR(__xludf.DUMMYFUNCTION("IMPORTRANGE(""https://docs.google.com/spreadsheets/d/1QqKyyYR6Q21VydFLVH3TRQUabQu_ym0Zz7PgGX0-kHA/edit?usp=sharing"",""แผน!T33"")"),1)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IFERROR(__xludf.DUMMYFUNCTION("IMPORTRANGE(""https://docs.google.com/spreadsheets/d/1MeEWN-I1oV_STSDYn1IFDPWt_1FKiwhDph83XaGc0o0/edit?usp=sharing"",""งบพรบ!BA33"")"),0)</f>
        <v>0</v>
      </c>
      <c r="M124" s="870">
        <f ca="1">IFERROR(__xludf.DUMMYFUNCTION("IMPORTRANGE(""https://docs.google.com/spreadsheets/d/1MeEWN-I1oV_STSDYn1IFDPWt_1FKiwhDph83XaGc0o0/edit?usp=sharing"",""งบพรบ!BF33"")"),0)</f>
        <v>0</v>
      </c>
      <c r="N124" s="870">
        <f ca="1">IFERROR(__xludf.DUMMYFUNCTION("IMPORTRANGE(""https://docs.google.com/spreadsheets/d/1MeEWN-I1oV_STSDYn1IFDPWt_1FKiwhDph83XaGc0o0/edit?usp=sharing"",""งบพรบ!BH33"")"),0)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IFERROR(__xludf.DUMMYFUNCTION("IMPORTRANGE(""https://docs.google.com/spreadsheets/d/1MeEWN-I1oV_STSDYn1IFDPWt_1FKiwhDph83XaGc0o0/edit?usp=sharing"",""งบพรบ!BD33"")"),0)</f>
        <v>0</v>
      </c>
      <c r="M127" s="870">
        <f ca="1">IFERROR(__xludf.DUMMYFUNCTION("IMPORTRANGE(""https://docs.google.com/spreadsheets/d/1MeEWN-I1oV_STSDYn1IFDPWt_1FKiwhDph83XaGc0o0/edit?usp=sharing"",""งบพรบ!BG33"")"),0)</f>
        <v>0</v>
      </c>
      <c r="N127" s="870">
        <f ca="1">IFERROR(__xludf.DUMMYFUNCTION("IMPORTRANGE(""https://docs.google.com/spreadsheets/d/1MeEWN-I1oV_STSDYn1IFDPWt_1FKiwhDph83XaGc0o0/edit?usp=sharing"",""งบพรบ!BI33"")"),0)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IFERROR(__xludf.DUMMYFUNCTION("IMPORTRANGE(""https://docs.google.com/spreadsheets/d/1MeEWN-I1oV_STSDYn1IFDPWt_1FKiwhDph83XaGc0o0/edit?usp=sharing"",""งบพรบ!BK33"")"),0)</f>
        <v>0</v>
      </c>
      <c r="M137" s="870">
        <f ca="1">IFERROR(__xludf.DUMMYFUNCTION("IMPORTRANGE(""https://docs.google.com/spreadsheets/d/1MeEWN-I1oV_STSDYn1IFDPWt_1FKiwhDph83XaGc0o0/edit?usp=sharing"",""งบพรบ!BP33"")"),0)</f>
        <v>0</v>
      </c>
      <c r="N137" s="870">
        <f ca="1">IFERROR(__xludf.DUMMYFUNCTION("IMPORTRANGE(""https://docs.google.com/spreadsheets/d/1MeEWN-I1oV_STSDYn1IFDPWt_1FKiwhDph83XaGc0o0/edit?usp=sharing"",""งบพรบ!BR33"")"),0)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IFERROR(__xludf.DUMMYFUNCTION("IMPORTRANGE(""https://docs.google.com/spreadsheets/d/1MeEWN-I1oV_STSDYn1IFDPWt_1FKiwhDph83XaGc0o0/edit?usp=sharing"",""งบพรบ!BN33"")"),0)</f>
        <v>0</v>
      </c>
      <c r="M140" s="870">
        <f ca="1">IFERROR(__xludf.DUMMYFUNCTION("IMPORTRANGE(""https://docs.google.com/spreadsheets/d/1MeEWN-I1oV_STSDYn1IFDPWt_1FKiwhDph83XaGc0o0/edit?usp=sharing"",""งบพรบ!BQ33"")"),0)</f>
        <v>0</v>
      </c>
      <c r="N140" s="870">
        <f ca="1">IFERROR(__xludf.DUMMYFUNCTION("IMPORTRANGE(""https://docs.google.com/spreadsheets/d/1MeEWN-I1oV_STSDYn1IFDPWt_1FKiwhDph83XaGc0o0/edit?usp=sharing"",""งบพรบ!BS33"")"),0)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IFERROR(__xludf.DUMMYFUNCTION("IMPORTRANGE(""https://docs.google.com/spreadsheets/d/1QqKyyYR6Q21VydFLVH3TRQUabQu_ym0Zz7PgGX0-kHA/edit?usp=sharing"",""แผน!U33"")"),0)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IFERROR(__xludf.DUMMYFUNCTION("IMPORTRANGE(""https://docs.google.com/spreadsheets/d/1QqKyyYR6Q21VydFLVH3TRQUabQu_ym0Zz7PgGX0-kHA/edit?usp=sharing"",""แผน!V33"")"),0)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IFERROR(__xludf.DUMMYFUNCTION("IMPORTRANGE(""https://docs.google.com/spreadsheets/d/1QqKyyYR6Q21VydFLVH3TRQUabQu_ym0Zz7PgGX0-kHA/edit?usp=sharing"",""แผน!W33"")"),0)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IFERROR(__xludf.DUMMYFUNCTION("IMPORTRANGE(""https://docs.google.com/spreadsheets/d/1MeEWN-I1oV_STSDYn1IFDPWt_1FKiwhDph83XaGc0o0/edit?usp=sharing"",""งบพรบ!BU33"")"),0)</f>
        <v>0</v>
      </c>
      <c r="M154" s="870">
        <f ca="1">IFERROR(__xludf.DUMMYFUNCTION("IMPORTRANGE(""https://docs.google.com/spreadsheets/d/1MeEWN-I1oV_STSDYn1IFDPWt_1FKiwhDph83XaGc0o0/edit?usp=sharing"",""งบพรบ!BZ33"")"),0)</f>
        <v>0</v>
      </c>
      <c r="N154" s="870">
        <f ca="1">IFERROR(__xludf.DUMMYFUNCTION("IMPORTRANGE(""https://docs.google.com/spreadsheets/d/1MeEWN-I1oV_STSDYn1IFDPWt_1FKiwhDph83XaGc0o0/edit?usp=sharing"",""งบพรบ!CB33"")"),0)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IFERROR(__xludf.DUMMYFUNCTION("IMPORTRANGE(""https://docs.google.com/spreadsheets/d/1MeEWN-I1oV_STSDYn1IFDPWt_1FKiwhDph83XaGc0o0/edit?usp=sharing"",""งบพรบ!BX33"")"),0)</f>
        <v>0</v>
      </c>
      <c r="M157" s="870">
        <f ca="1">IFERROR(__xludf.DUMMYFUNCTION("IMPORTRANGE(""https://docs.google.com/spreadsheets/d/1MeEWN-I1oV_STSDYn1IFDPWt_1FKiwhDph83XaGc0o0/edit?usp=sharing"",""งบพรบ!CA33"")"),0)</f>
        <v>0</v>
      </c>
      <c r="N157" s="870">
        <f ca="1">IFERROR(__xludf.DUMMYFUNCTION("IMPORTRANGE(""https://docs.google.com/spreadsheets/d/1MeEWN-I1oV_STSDYn1IFDPWt_1FKiwhDph83XaGc0o0/edit?usp=sharing"",""งบพรบ!CC33"")"),0)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IFERROR(__xludf.DUMMYFUNCTION("IMPORTRANGE(""https://docs.google.com/spreadsheets/d/1QqKyyYR6Q21VydFLVH3TRQUabQu_ym0Zz7PgGX0-kHA/edit?usp=sharing"",""แผน!X33"")"),0)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10</v>
      </c>
      <c r="J164" s="1041">
        <f t="shared" si="83"/>
        <v>10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21050</v>
      </c>
      <c r="M165" s="972">
        <f t="shared" ca="1" si="84"/>
        <v>21050</v>
      </c>
      <c r="N165" s="972">
        <f t="shared" ca="1" si="84"/>
        <v>20980</v>
      </c>
      <c r="O165" s="972">
        <f t="shared" ref="O165:O173" ca="1" si="85">IF(L165&gt;0,N165*100/L165,0)</f>
        <v>99.667458432304045</v>
      </c>
      <c r="P165" s="972">
        <f t="shared" ref="P165:P173" ca="1" si="86">IF(M165&gt;0,N165*100/M165,0)</f>
        <v>99.667458432304045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21050</v>
      </c>
      <c r="M167" s="870">
        <f t="shared" ca="1" si="87"/>
        <v>21050</v>
      </c>
      <c r="N167" s="870">
        <f t="shared" ca="1" si="87"/>
        <v>20980</v>
      </c>
      <c r="O167" s="870">
        <f t="shared" ca="1" si="85"/>
        <v>99.667458432304045</v>
      </c>
      <c r="P167" s="870">
        <f t="shared" ca="1" si="86"/>
        <v>99.667458432304045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21050</v>
      </c>
      <c r="M168" s="864">
        <f t="shared" ca="1" si="88"/>
        <v>21050</v>
      </c>
      <c r="N168" s="864">
        <f t="shared" ca="1" si="88"/>
        <v>20980</v>
      </c>
      <c r="O168" s="864">
        <f t="shared" ca="1" si="85"/>
        <v>99.667458432304045</v>
      </c>
      <c r="P168" s="864">
        <f t="shared" ca="1" si="86"/>
        <v>99.667458432304045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IFERROR(__xludf.DUMMYFUNCTION("IMPORTRANGE(""https://docs.google.com/spreadsheets/d/1MeEWN-I1oV_STSDYn1IFDPWt_1FKiwhDph83XaGc0o0/edit?usp=sharing"",""งบพรบ!CE33"")"),21050)</f>
        <v>21050</v>
      </c>
      <c r="M170" s="870">
        <f ca="1">IFERROR(__xludf.DUMMYFUNCTION("IMPORTRANGE(""https://docs.google.com/spreadsheets/d/1MeEWN-I1oV_STSDYn1IFDPWt_1FKiwhDph83XaGc0o0/edit?usp=sharing"",""งบพรบ!CJ33"")"),21050)</f>
        <v>21050</v>
      </c>
      <c r="N170" s="870">
        <f ca="1">IFERROR(__xludf.DUMMYFUNCTION("IMPORTRANGE(""https://docs.google.com/spreadsheets/d/1MeEWN-I1oV_STSDYn1IFDPWt_1FKiwhDph83XaGc0o0/edit?usp=sharing"",""งบพรบ!CL33"")"),20980)</f>
        <v>20980</v>
      </c>
      <c r="O170" s="870">
        <f t="shared" ca="1" si="85"/>
        <v>99.667458432304045</v>
      </c>
      <c r="P170" s="870">
        <f t="shared" ca="1" si="86"/>
        <v>99.667458432304045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IFERROR(__xludf.DUMMYFUNCTION("IMPORTRANGE(""https://docs.google.com/spreadsheets/d/1MeEWN-I1oV_STSDYn1IFDPWt_1FKiwhDph83XaGc0o0/edit?usp=sharing"",""งบพรบ!CH33"")"),0)</f>
        <v>0</v>
      </c>
      <c r="M173" s="870">
        <f ca="1">IFERROR(__xludf.DUMMYFUNCTION("IMPORTRANGE(""https://docs.google.com/spreadsheets/d/1MeEWN-I1oV_STSDYn1IFDPWt_1FKiwhDph83XaGc0o0/edit?usp=sharing"",""งบพรบ!CK33"")"),0)</f>
        <v>0</v>
      </c>
      <c r="N173" s="870">
        <f ca="1">IFERROR(__xludf.DUMMYFUNCTION("IMPORTRANGE(""https://docs.google.com/spreadsheets/d/1MeEWN-I1oV_STSDYn1IFDPWt_1FKiwhDph83XaGc0o0/edit?usp=sharing"",""งบพรบ!CM33"")"),0)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10</v>
      </c>
      <c r="J174" s="1048">
        <f t="shared" si="90"/>
        <v>10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IFERROR(__xludf.DUMMYFUNCTION("IMPORTRANGE(""https://docs.google.com/spreadsheets/d/1QqKyyYR6Q21VydFLVH3TRQUabQu_ym0Zz7PgGX0-kHA/edit?usp=sharing"",""แผน!Y33"")"),10)</f>
        <v>10</v>
      </c>
      <c r="J176" s="992">
        <v>10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63500</v>
      </c>
      <c r="M181" s="972">
        <f t="shared" ca="1" si="92"/>
        <v>81300</v>
      </c>
      <c r="N181" s="972">
        <f t="shared" ca="1" si="92"/>
        <v>64830</v>
      </c>
      <c r="O181" s="972">
        <f t="shared" ref="O181:O189" ca="1" si="93">IF(L181&gt;0,N181*100/L181,0)</f>
        <v>102.09448818897638</v>
      </c>
      <c r="P181" s="972">
        <f t="shared" ref="P181:P189" ca="1" si="94">IF(M181&gt;0,N181*100/M181,0)</f>
        <v>79.741697416974176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63500</v>
      </c>
      <c r="M183" s="870">
        <f t="shared" ca="1" si="95"/>
        <v>81300</v>
      </c>
      <c r="N183" s="870">
        <f t="shared" ca="1" si="95"/>
        <v>64830</v>
      </c>
      <c r="O183" s="870">
        <f t="shared" ca="1" si="93"/>
        <v>102.09448818897638</v>
      </c>
      <c r="P183" s="870">
        <f t="shared" ca="1" si="94"/>
        <v>79.741697416974176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63500</v>
      </c>
      <c r="M184" s="864">
        <f t="shared" ca="1" si="96"/>
        <v>81300</v>
      </c>
      <c r="N184" s="864">
        <f t="shared" ca="1" si="96"/>
        <v>64830</v>
      </c>
      <c r="O184" s="864">
        <f t="shared" ca="1" si="93"/>
        <v>102.09448818897638</v>
      </c>
      <c r="P184" s="864">
        <f t="shared" ca="1" si="94"/>
        <v>79.741697416974176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IFERROR(__xludf.DUMMYFUNCTION("IMPORTRANGE(""https://docs.google.com/spreadsheets/d/1MeEWN-I1oV_STSDYn1IFDPWt_1FKiwhDph83XaGc0o0/edit?usp=sharing"",""งบพรบ!CO33"")"),63500)</f>
        <v>63500</v>
      </c>
      <c r="M186" s="870">
        <f ca="1">IFERROR(__xludf.DUMMYFUNCTION("IMPORTRANGE(""https://docs.google.com/spreadsheets/d/1MeEWN-I1oV_STSDYn1IFDPWt_1FKiwhDph83XaGc0o0/edit?usp=sharing"",""งบพรบ!CT33"")"),81300)</f>
        <v>81300</v>
      </c>
      <c r="N186" s="870">
        <f ca="1">IFERROR(__xludf.DUMMYFUNCTION("IMPORTRANGE(""https://docs.google.com/spreadsheets/d/1MeEWN-I1oV_STSDYn1IFDPWt_1FKiwhDph83XaGc0o0/edit?usp=sharing"",""งบพรบ!CV33"")"),64830)</f>
        <v>64830</v>
      </c>
      <c r="O186" s="870">
        <f t="shared" ca="1" si="93"/>
        <v>102.09448818897638</v>
      </c>
      <c r="P186" s="870">
        <f t="shared" ca="1" si="94"/>
        <v>79.741697416974176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IFERROR(__xludf.DUMMYFUNCTION("IMPORTRANGE(""https://docs.google.com/spreadsheets/d/1MeEWN-I1oV_STSDYn1IFDPWt_1FKiwhDph83XaGc0o0/edit?usp=sharing"",""งบพรบ!CR33"")"),0)</f>
        <v>0</v>
      </c>
      <c r="M189" s="870">
        <f ca="1">IFERROR(__xludf.DUMMYFUNCTION("IMPORTRANGE(""https://docs.google.com/spreadsheets/d/1MeEWN-I1oV_STSDYn1IFDPWt_1FKiwhDph83XaGc0o0/edit?usp=sharing"",""งบพรบ!CU33"")"),0)</f>
        <v>0</v>
      </c>
      <c r="N189" s="870">
        <f ca="1">IFERROR(__xludf.DUMMYFUNCTION("IMPORTRANGE(""https://docs.google.com/spreadsheets/d/1MeEWN-I1oV_STSDYn1IFDPWt_1FKiwhDph83XaGc0o0/edit?usp=sharing"",""งบพรบ!CW33"")"),0)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IFERROR(__xludf.DUMMYFUNCTION("IMPORTRANGE(""https://docs.google.com/spreadsheets/d/1QqKyyYR6Q21VydFLVH3TRQUabQu_ym0Zz7PgGX0-kHA/edit?usp=sharing"",""แผน!Z33"")"),6000)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IFERROR(__xludf.DUMMYFUNCTION("IMPORTRANGE(""https://docs.google.com/spreadsheets/d/1QqKyyYR6Q21VydFLVH3TRQUabQu_ym0Zz7PgGX0-kHA/edit?usp=sharing"",""แผน!AC33"")"),4)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5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5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0</v>
      </c>
      <c r="O198" s="972">
        <f ca="1">IF(L198&gt;0,N198*100/L198,0)</f>
        <v>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IFERROR(__xludf.DUMMYFUNCTION("IMPORTRANGE(""https://docs.google.com/spreadsheets/d/1QqKyyYR6Q21VydFLVH3TRQUabQu_ym0Zz7PgGX0-kHA/edit?usp=sharing"",""แผน!AE33"")"),3000)</f>
        <v>3000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IFERROR(__xludf.DUMMYFUNCTION("IMPORTRANGE(""https://docs.google.com/spreadsheets/d/1QqKyyYR6Q21VydFLVH3TRQUabQu_ym0Zz7PgGX0-kHA/edit?usp=sharing"",""แผน!AF33"")"),24000)</f>
        <v>24000</v>
      </c>
      <c r="M200" s="864"/>
      <c r="N200" s="1064">
        <v>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IFERROR(__xludf.DUMMYFUNCTION("IMPORTRANGE(""https://docs.google.com/spreadsheets/d/1QqKyyYR6Q21VydFLVH3TRQUabQu_ym0Zz7PgGX0-kHA/edit?usp=sharing"",""แผน!AG33"")"),12000)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IFERROR(__xludf.DUMMYFUNCTION("IMPORTRANGE(""https://docs.google.com/spreadsheets/d/1QqKyyYR6Q21VydFLVH3TRQUabQu_ym0Zz7PgGX0-kHA/edit?usp=sharing"",""แผน!AH33"")"),0)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IFERROR(__xludf.DUMMYFUNCTION("IMPORTRANGE(""https://docs.google.com/spreadsheets/d/1QqKyyYR6Q21VydFLVH3TRQUabQu_ym0Zz7PgGX0-kHA/edit?usp=sharing"",""แผน!AI33"")"),3)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IFERROR(__xludf.DUMMYFUNCTION("IMPORTRANGE(""https://docs.google.com/spreadsheets/d/1QqKyyYR6Q21VydFLVH3TRQUabQu_ym0Zz7PgGX0-kHA/edit?usp=sharing"",""แผน!AK33"")"),0)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IFERROR(__xludf.DUMMYFUNCTION("IMPORTRANGE(""https://docs.google.com/spreadsheets/d/1QqKyyYR6Q21VydFLVH3TRQUabQu_ym0Zz7PgGX0-kHA/edit?usp=sharing"",""แผน!AL33"")"),0)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IFERROR(__xludf.DUMMYFUNCTION("IMPORTRANGE(""https://docs.google.com/spreadsheets/d/1QqKyyYR6Q21VydFLVH3TRQUabQu_ym0Zz7PgGX0-kHA/edit?usp=sharing"",""แผน!AM33"")"),0)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IFERROR(__xludf.DUMMYFUNCTION("IMPORTRANGE(""https://docs.google.com/spreadsheets/d/1QqKyyYR6Q21VydFLVH3TRQUabQu_ym0Zz7PgGX0-kHA/edit?usp=sharing"",""แผน!AN33"")"),0)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IFERROR(__xludf.DUMMYFUNCTION("IMPORTRANGE(""https://docs.google.com/spreadsheets/d/1QqKyyYR6Q21VydFLVH3TRQUabQu_ym0Zz7PgGX0-kHA/edit?usp=sharing"",""แผน!AN33"")"),0)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50000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18500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IFERROR(__xludf.DUMMYFUNCTION("IMPORTRANGE(""https://docs.google.com/spreadsheets/d/1QqKyyYR6Q21VydFLVH3TRQUabQu_ym0Zz7PgGX0-kHA/edit?usp=sharing"",""แผน!AP33"")"),5000)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IFERROR(__xludf.DUMMYFUNCTION("IMPORTRANGE(""https://docs.google.com/spreadsheets/d/1QqKyyYR6Q21VydFLVH3TRQUabQu_ym0Zz7PgGX0-kHA/edit?usp=sharing"",""แผน!AQ33"")"),13500)</f>
        <v>13500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IFERROR(__xludf.DUMMYFUNCTION("IMPORTRANGE(""https://docs.google.com/spreadsheets/d/1QqKyyYR6Q21VydFLVH3TRQUabQu_ym0Zz7PgGX0-kHA/edit?usp=sharing"",""แผน!AR33"")"),0)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IFERROR(__xludf.DUMMYFUNCTION("IMPORTRANGE(""https://docs.google.com/spreadsheets/d/1QqKyyYR6Q21VydFLVH3TRQUabQu_ym0Zz7PgGX0-kHA/edit?usp=sharing"",""แผน!AT33"")"),50000)</f>
        <v>50000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IFERROR(__xludf.DUMMYFUNCTION("IMPORTRANGE(""https://docs.google.com/spreadsheets/d/1QqKyyYR6Q21VydFLVH3TRQUabQu_ym0Zz7PgGX0-kHA/edit?usp=sharing"",""แผน!AT33"")"),50000)</f>
        <v>50000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IFERROR(__xludf.DUMMYFUNCTION("IMPORTRANGE(""https://docs.google.com/spreadsheets/d/1QqKyyYR6Q21VydFLVH3TRQUabQu_ym0Zz7PgGX0-kHA/edit?usp=sharing"",""แผน!AS33"")"),0)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IFERROR(__xludf.DUMMYFUNCTION("IMPORTRANGE(""https://docs.google.com/spreadsheets/d/1QqKyyYR6Q21VydFLVH3TRQUabQu_ym0Zz7PgGX0-kHA/edit?usp=sharing"",""แผน!AV33"")"),0)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IFERROR(__xludf.DUMMYFUNCTION("IMPORTRANGE(""https://docs.google.com/spreadsheets/d/1QqKyyYR6Q21VydFLVH3TRQUabQu_ym0Zz7PgGX0-kHA/edit?usp=sharing"",""แผน!AW33"")"),0)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IFERROR(__xludf.DUMMYFUNCTION("IMPORTRANGE(""https://docs.google.com/spreadsheets/d/1QqKyyYR6Q21VydFLVH3TRQUabQu_ym0Zz7PgGX0-kHA/edit?usp=sharing"",""แผน!AX33"")"),0)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IFERROR(__xludf.DUMMYFUNCTION("IMPORTRANGE(""https://docs.google.com/spreadsheets/d/1QqKyyYR6Q21VydFLVH3TRQUabQu_ym0Zz7PgGX0-kHA/edit?usp=sharing"",""แผน!AY33"")"),0)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IFERROR(__xludf.DUMMYFUNCTION("IMPORTRANGE(""https://docs.google.com/spreadsheets/d/1QqKyyYR6Q21VydFLVH3TRQUabQu_ym0Zz7PgGX0-kHA/edit?usp=sharing"",""แผน!BE33"")"),0)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IFERROR(__xludf.DUMMYFUNCTION("IMPORTRANGE(""https://docs.google.com/spreadsheets/d/1QqKyyYR6Q21VydFLVH3TRQUabQu_ym0Zz7PgGX0-kHA/edit?usp=sharing"",""แผน!AZ33"")"),0)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IFERROR(__xludf.DUMMYFUNCTION("IMPORTRANGE(""https://docs.google.com/spreadsheets/d/1QqKyyYR6Q21VydFLVH3TRQUabQu_ym0Zz7PgGX0-kHA/edit?usp=sharing"",""แผน!BA33"")"),0)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IFERROR(__xludf.DUMMYFUNCTION("IMPORTRANGE(""https://docs.google.com/spreadsheets/d/1QqKyyYR6Q21VydFLVH3TRQUabQu_ym0Zz7PgGX0-kHA/edit?usp=sharing"",""แผน!BB33"")"),0)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IFERROR(__xludf.DUMMYFUNCTION("IMPORTRANGE(""https://docs.google.com/spreadsheets/d/1QqKyyYR6Q21VydFLVH3TRQUabQu_ym0Zz7PgGX0-kHA/edit?usp=sharing"",""แผน!BC33"")"),0)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IFERROR(__xludf.DUMMYFUNCTION("IMPORTRANGE(""https://docs.google.com/spreadsheets/d/1QqKyyYR6Q21VydFLVH3TRQUabQu_ym0Zz7PgGX0-kHA/edit?usp=sharing"",""แผน!BF33"")"),0)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26</v>
      </c>
      <c r="J260" s="1041">
        <f t="shared" si="115"/>
        <v>26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30700</v>
      </c>
      <c r="M261" s="972">
        <f t="shared" ca="1" si="116"/>
        <v>27700</v>
      </c>
      <c r="N261" s="972">
        <f t="shared" ca="1" si="116"/>
        <v>25340</v>
      </c>
      <c r="O261" s="972">
        <f t="shared" ref="O261:O269" ca="1" si="117">IF(L261&gt;0,N261*100/L261,0)</f>
        <v>82.54071661237785</v>
      </c>
      <c r="P261" s="972">
        <f t="shared" ref="P261:P269" ca="1" si="118">IF(M261&gt;0,N261*100/M261,0)</f>
        <v>91.480144404332137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30700</v>
      </c>
      <c r="M263" s="870">
        <f t="shared" ca="1" si="119"/>
        <v>27700</v>
      </c>
      <c r="N263" s="870">
        <f t="shared" ca="1" si="119"/>
        <v>25340</v>
      </c>
      <c r="O263" s="870">
        <f t="shared" ca="1" si="117"/>
        <v>82.54071661237785</v>
      </c>
      <c r="P263" s="870">
        <f t="shared" ca="1" si="118"/>
        <v>91.480144404332137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30700</v>
      </c>
      <c r="M264" s="864">
        <f t="shared" ca="1" si="120"/>
        <v>27700</v>
      </c>
      <c r="N264" s="864">
        <f t="shared" ca="1" si="120"/>
        <v>25340</v>
      </c>
      <c r="O264" s="864">
        <f t="shared" ca="1" si="117"/>
        <v>82.54071661237785</v>
      </c>
      <c r="P264" s="864">
        <f t="shared" ca="1" si="118"/>
        <v>91.480144404332137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IFERROR(__xludf.DUMMYFUNCTION("IMPORTRANGE(""https://docs.google.com/spreadsheets/d/1MeEWN-I1oV_STSDYn1IFDPWt_1FKiwhDph83XaGc0o0/edit?usp=sharing"",""งบพรบ!CY33"")"),30700)</f>
        <v>30700</v>
      </c>
      <c r="M266" s="870">
        <f ca="1">IFERROR(__xludf.DUMMYFUNCTION("IMPORTRANGE(""https://docs.google.com/spreadsheets/d/1MeEWN-I1oV_STSDYn1IFDPWt_1FKiwhDph83XaGc0o0/edit?usp=sharing"",""งบพรบ!DD33"")"),27700)</f>
        <v>27700</v>
      </c>
      <c r="N266" s="870">
        <f ca="1">IFERROR(__xludf.DUMMYFUNCTION("IMPORTRANGE(""https://docs.google.com/spreadsheets/d/1MeEWN-I1oV_STSDYn1IFDPWt_1FKiwhDph83XaGc0o0/edit?usp=sharing"",""งบพรบ!DF33"")"),25340)</f>
        <v>25340</v>
      </c>
      <c r="O266" s="870">
        <f t="shared" ca="1" si="117"/>
        <v>82.54071661237785</v>
      </c>
      <c r="P266" s="870">
        <f t="shared" ca="1" si="118"/>
        <v>91.480144404332137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IFERROR(__xludf.DUMMYFUNCTION("IMPORTRANGE(""https://docs.google.com/spreadsheets/d/1MeEWN-I1oV_STSDYn1IFDPWt_1FKiwhDph83XaGc0o0/edit?usp=sharing"",""งบพรบ!DB33"")"),0)</f>
        <v>0</v>
      </c>
      <c r="M269" s="870">
        <f ca="1">IFERROR(__xludf.DUMMYFUNCTION("IMPORTRANGE(""https://docs.google.com/spreadsheets/d/1MeEWN-I1oV_STSDYn1IFDPWt_1FKiwhDph83XaGc0o0/edit?usp=sharing"",""งบพรบ!DE33"")"),0)</f>
        <v>0</v>
      </c>
      <c r="N269" s="870">
        <f ca="1">IFERROR(__xludf.DUMMYFUNCTION("IMPORTRANGE(""https://docs.google.com/spreadsheets/d/1MeEWN-I1oV_STSDYn1IFDPWt_1FKiwhDph83XaGc0o0/edit?usp=sharing"",""งบพรบ!DG33"")"),0)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IFERROR(__xludf.DUMMYFUNCTION("IMPORTRANGE(""https://docs.google.com/spreadsheets/d/1QqKyyYR6Q21VydFLVH3TRQUabQu_ym0Zz7PgGX0-kHA/edit?usp=sharing"",""แผน!EA33"")"),26)</f>
        <v>26</v>
      </c>
      <c r="J271" s="992">
        <v>26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30</v>
      </c>
      <c r="J275" s="1138">
        <f t="shared" ca="1" si="122"/>
        <v>30</v>
      </c>
      <c r="K275" s="1139">
        <f t="shared" ref="K275:K276" ca="1" si="123">IF(I275&gt;0,J275*100/I275,0)</f>
        <v>100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300</v>
      </c>
      <c r="J276" s="1141">
        <f t="shared" si="124"/>
        <v>300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288310</v>
      </c>
      <c r="M277" s="972">
        <f t="shared" ca="1" si="125"/>
        <v>244160</v>
      </c>
      <c r="N277" s="972">
        <f t="shared" ca="1" si="125"/>
        <v>156951.4</v>
      </c>
      <c r="O277" s="972">
        <f t="shared" ref="O277:O285" ca="1" si="126">IF(L277&gt;0,N277*100/L277,0)</f>
        <v>54.438416981721062</v>
      </c>
      <c r="P277" s="972">
        <f t="shared" ref="P277:P285" ca="1" si="127">IF(M277&gt;0,N277*100/M277,0)</f>
        <v>64.282192005242464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288310</v>
      </c>
      <c r="M279" s="870">
        <f t="shared" ca="1" si="128"/>
        <v>244160</v>
      </c>
      <c r="N279" s="870">
        <f t="shared" ca="1" si="128"/>
        <v>156951.4</v>
      </c>
      <c r="O279" s="870">
        <f t="shared" ca="1" si="126"/>
        <v>54.438416981721062</v>
      </c>
      <c r="P279" s="870">
        <f t="shared" ca="1" si="127"/>
        <v>64.282192005242464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288310</v>
      </c>
      <c r="M280" s="864">
        <f t="shared" ca="1" si="129"/>
        <v>244160</v>
      </c>
      <c r="N280" s="864">
        <f t="shared" ca="1" si="129"/>
        <v>156951.4</v>
      </c>
      <c r="O280" s="864">
        <f t="shared" ca="1" si="126"/>
        <v>54.438416981721062</v>
      </c>
      <c r="P280" s="864">
        <f t="shared" ca="1" si="127"/>
        <v>64.282192005242464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IFERROR(__xludf.DUMMYFUNCTION("IMPORTRANGE(""https://docs.google.com/spreadsheets/d/1MeEWN-I1oV_STSDYn1IFDPWt_1FKiwhDph83XaGc0o0/edit?usp=sharing"",""งบพรบ!DI33"")"),288310)</f>
        <v>288310</v>
      </c>
      <c r="M282" s="870">
        <f ca="1">IFERROR(__xludf.DUMMYFUNCTION("IMPORTRANGE(""https://docs.google.com/spreadsheets/d/1MeEWN-I1oV_STSDYn1IFDPWt_1FKiwhDph83XaGc0o0/edit?usp=sharing"",""งบพรบ!DN33"")"),244160)</f>
        <v>244160</v>
      </c>
      <c r="N282" s="870">
        <f ca="1">IFERROR(__xludf.DUMMYFUNCTION("IMPORTRANGE(""https://docs.google.com/spreadsheets/d/1MeEWN-I1oV_STSDYn1IFDPWt_1FKiwhDph83XaGc0o0/edit?usp=sharing"",""งบพรบ!DP33"")"),156951.4)</f>
        <v>156951.4</v>
      </c>
      <c r="O282" s="870">
        <f t="shared" ca="1" si="126"/>
        <v>54.438416981721062</v>
      </c>
      <c r="P282" s="870">
        <f t="shared" ca="1" si="127"/>
        <v>64.282192005242464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IFERROR(__xludf.DUMMYFUNCTION("IMPORTRANGE(""https://docs.google.com/spreadsheets/d/1MeEWN-I1oV_STSDYn1IFDPWt_1FKiwhDph83XaGc0o0/edit?usp=sharing"",""งบพรบ!DL33"")"),0)</f>
        <v>0</v>
      </c>
      <c r="M285" s="870">
        <f ca="1">IFERROR(__xludf.DUMMYFUNCTION("IMPORTRANGE(""https://docs.google.com/spreadsheets/d/1MeEWN-I1oV_STSDYn1IFDPWt_1FKiwhDph83XaGc0o0/edit?usp=sharing"",""งบพรบ!DO33"")"),0)</f>
        <v>0</v>
      </c>
      <c r="N285" s="870">
        <f ca="1">IFERROR(__xludf.DUMMYFUNCTION("IMPORTRANGE(""https://docs.google.com/spreadsheets/d/1MeEWN-I1oV_STSDYn1IFDPWt_1FKiwhDph83XaGc0o0/edit?usp=sharing"",""งบพรบ!DQ33"")"),0)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IFERROR(__xludf.DUMMYFUNCTION("IMPORTRANGE(""https://docs.google.com/spreadsheets/d/1QqKyyYR6Q21VydFLVH3TRQUabQu_ym0Zz7PgGX0-kHA/edit?usp=sharing"",""แผน!EC33"")"),300)</f>
        <v>300</v>
      </c>
      <c r="J287" s="992">
        <v>300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IFERROR(__xludf.DUMMYFUNCTION("IMPORTRANGE(""https://docs.google.com/spreadsheets/d/1QqKyyYR6Q21VydFLVH3TRQUabQu_ym0Zz7PgGX0-kHA/edit?usp=sharing"",""แผน!EB33"")"),30)</f>
        <v>30</v>
      </c>
      <c r="J288" s="999">
        <f ca="1">IF(AND(J291&gt;=I288,J294&gt;=I288),J294,0)</f>
        <v>30</v>
      </c>
      <c r="K288" s="1142">
        <f t="shared" ca="1" si="131"/>
        <v>100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IFERROR(__xludf.DUMMYFUNCTION("IMPORTRANGE(""https://docs.google.com/spreadsheets/d/1QqKyyYR6Q21VydFLVH3TRQUabQu_ym0Zz7PgGX0-kHA/edit?usp=sharing"",""แผน!EB33"")"),30)</f>
        <v>30</v>
      </c>
      <c r="J290" s="992">
        <v>30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IFERROR(__xludf.DUMMYFUNCTION("IMPORTRANGE(""https://docs.google.com/spreadsheets/d/1QqKyyYR6Q21VydFLVH3TRQUabQu_ym0Zz7PgGX0-kHA/edit?usp=sharing"",""แผน!EB33"")"),30)</f>
        <v>30</v>
      </c>
      <c r="J291" s="992">
        <v>30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IFERROR(__xludf.DUMMYFUNCTION("IMPORTRANGE(""https://docs.google.com/spreadsheets/d/1QqKyyYR6Q21VydFLVH3TRQUabQu_ym0Zz7PgGX0-kHA/edit?usp=sharing"",""แผน!EB33"")"),30)</f>
        <v>30</v>
      </c>
      <c r="J293" s="992">
        <v>30</v>
      </c>
      <c r="K293" s="978">
        <f t="shared" ref="K293:K294" ca="1" si="133">IF(I293&gt;0,J293*100/I293,0)</f>
        <v>100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IFERROR(__xludf.DUMMYFUNCTION("IMPORTRANGE(""https://docs.google.com/spreadsheets/d/1QqKyyYR6Q21VydFLVH3TRQUabQu_ym0Zz7PgGX0-kHA/edit?usp=sharing"",""แผน!EB33"")"),30)</f>
        <v>30</v>
      </c>
      <c r="J294" s="1151">
        <v>30</v>
      </c>
      <c r="K294" s="1118">
        <f t="shared" ca="1" si="133"/>
        <v>100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4920</v>
      </c>
      <c r="O298" s="972">
        <f t="shared" ref="O298:O306" ca="1" si="136">IF(L298&gt;0,N298*100/L298,0)</f>
        <v>5.9708737864077666</v>
      </c>
      <c r="P298" s="972">
        <f t="shared" ref="P298:P306" ca="1" si="137">IF(M298&gt;0,N298*100/M298,0)</f>
        <v>7.6397515527950315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4920</v>
      </c>
      <c r="O300" s="870">
        <f t="shared" ca="1" si="136"/>
        <v>5.9708737864077666</v>
      </c>
      <c r="P300" s="870">
        <f t="shared" ca="1" si="137"/>
        <v>7.6397515527950315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4920</v>
      </c>
      <c r="O301" s="864">
        <f t="shared" ca="1" si="136"/>
        <v>5.9708737864077666</v>
      </c>
      <c r="P301" s="864">
        <f t="shared" ca="1" si="137"/>
        <v>7.6397515527950315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IFERROR(__xludf.DUMMYFUNCTION("IMPORTRANGE(""https://docs.google.com/spreadsheets/d/1MeEWN-I1oV_STSDYn1IFDPWt_1FKiwhDph83XaGc0o0/edit?usp=sharing"",""งบพรบ!DS33"")"),82400)</f>
        <v>82400</v>
      </c>
      <c r="M303" s="870">
        <f ca="1">IFERROR(__xludf.DUMMYFUNCTION("IMPORTRANGE(""https://docs.google.com/spreadsheets/d/1MeEWN-I1oV_STSDYn1IFDPWt_1FKiwhDph83XaGc0o0/edit?usp=sharing"",""งบพรบ!DX33"")"),64400)</f>
        <v>64400</v>
      </c>
      <c r="N303" s="870">
        <f ca="1">IFERROR(__xludf.DUMMYFUNCTION("IMPORTRANGE(""https://docs.google.com/spreadsheets/d/1MeEWN-I1oV_STSDYn1IFDPWt_1FKiwhDph83XaGc0o0/edit?usp=sharing"",""งบพรบ!DZ33"")"),4920)</f>
        <v>4920</v>
      </c>
      <c r="O303" s="870">
        <f t="shared" ca="1" si="136"/>
        <v>5.9708737864077666</v>
      </c>
      <c r="P303" s="870">
        <f t="shared" ca="1" si="137"/>
        <v>7.6397515527950315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IFERROR(__xludf.DUMMYFUNCTION("IMPORTRANGE(""https://docs.google.com/spreadsheets/d/1MeEWN-I1oV_STSDYn1IFDPWt_1FKiwhDph83XaGc0o0/edit?usp=sharing"",""งบพรบ!DV33"")"),0)</f>
        <v>0</v>
      </c>
      <c r="M306" s="870">
        <f ca="1">IFERROR(__xludf.DUMMYFUNCTION("IMPORTRANGE(""https://docs.google.com/spreadsheets/d/1MeEWN-I1oV_STSDYn1IFDPWt_1FKiwhDph83XaGc0o0/edit?usp=sharing"",""งบพรบ!DY33"")"),0)</f>
        <v>0</v>
      </c>
      <c r="N306" s="870">
        <f ca="1">IFERROR(__xludf.DUMMYFUNCTION("IMPORTRANGE(""https://docs.google.com/spreadsheets/d/1MeEWN-I1oV_STSDYn1IFDPWt_1FKiwhDph83XaGc0o0/edit?usp=sharing"",""งบพรบ!EA33"")"),0)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IFERROR(__xludf.DUMMYFUNCTION("IMPORTRANGE(""https://docs.google.com/spreadsheets/d/1QqKyyYR6Q21VydFLVH3TRQUabQu_ym0Zz7PgGX0-kHA/edit?usp=sharing"",""แผน!ED33"")"),20)</f>
        <v>20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IFERROR(__xludf.DUMMYFUNCTION("IMPORTRANGE(""https://docs.google.com/spreadsheets/d/1QqKyyYR6Q21VydFLVH3TRQUabQu_ym0Zz7PgGX0-kHA/edit?usp=sharing"",""แผน!ED33"")"),20)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IFERROR(__xludf.DUMMYFUNCTION("IMPORTRANGE(""https://docs.google.com/spreadsheets/d/1QqKyyYR6Q21VydFLVH3TRQUabQu_ym0Zz7PgGX0-kHA/edit?usp=sharing"",""แผน!ED33"")"),20)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IFERROR(__xludf.DUMMYFUNCTION("IMPORTRANGE(""https://docs.google.com/spreadsheets/d/1QqKyyYR6Q21VydFLVH3TRQUabQu_ym0Zz7PgGX0-kHA/edit?usp=sharing"",""แผน!EE33"")"),4)</f>
        <v>4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IFERROR(__xludf.DUMMYFUNCTION("IMPORTRANGE(""https://docs.google.com/spreadsheets/d/1MeEWN-I1oV_STSDYn1IFDPWt_1FKiwhDph83XaGc0o0/edit?usp=sharing"",""งบพรบ!EC33"")"),0)</f>
        <v>0</v>
      </c>
      <c r="M320" s="870">
        <f ca="1">IFERROR(__xludf.DUMMYFUNCTION("IMPORTRANGE(""https://docs.google.com/spreadsheets/d/1MeEWN-I1oV_STSDYn1IFDPWt_1FKiwhDph83XaGc0o0/edit?usp=sharing"",""งบพรบ!EH33"")"),0)</f>
        <v>0</v>
      </c>
      <c r="N320" s="870">
        <f ca="1">IFERROR(__xludf.DUMMYFUNCTION("IMPORTRANGE(""https://docs.google.com/spreadsheets/d/1MeEWN-I1oV_STSDYn1IFDPWt_1FKiwhDph83XaGc0o0/edit?usp=sharing"",""งบพรบ!EJ33"")"),0)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IFERROR(__xludf.DUMMYFUNCTION("IMPORTRANGE(""https://docs.google.com/spreadsheets/d/1MeEWN-I1oV_STSDYn1IFDPWt_1FKiwhDph83XaGc0o0/edit?usp=sharing"",""งบพรบ!EF33"")"),0)</f>
        <v>0</v>
      </c>
      <c r="M323" s="870">
        <f ca="1">IFERROR(__xludf.DUMMYFUNCTION("IMPORTRANGE(""https://docs.google.com/spreadsheets/d/1MeEWN-I1oV_STSDYn1IFDPWt_1FKiwhDph83XaGc0o0/edit?usp=sharing"",""งบพรบ!EI33"")"),0)</f>
        <v>0</v>
      </c>
      <c r="N323" s="870">
        <f ca="1">IFERROR(__xludf.DUMMYFUNCTION("IMPORTRANGE(""https://docs.google.com/spreadsheets/d/1MeEWN-I1oV_STSDYn1IFDPWt_1FKiwhDph83XaGc0o0/edit?usp=sharing"",""งบพรบ!EK33"")"),0)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IFERROR(__xludf.DUMMYFUNCTION("IMPORTRANGE(""https://docs.google.com/spreadsheets/d/1QqKyyYR6Q21VydFLVH3TRQUabQu_ym0Zz7PgGX0-kHA/edit?usp=sharing"",""แผน!EF33"")"),0)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IFERROR(__xludf.DUMMYFUNCTION("IMPORTRANGE(""https://docs.google.com/spreadsheets/d/1QqKyyYR6Q21VydFLVH3TRQUabQu_ym0Zz7PgGX0-kHA/edit?usp=sharing"",""แผน!EG33"")"),4300)</f>
        <v>4300</v>
      </c>
      <c r="J327" s="1170">
        <f ca="1">J338+J341+J342+J343</f>
        <v>2570</v>
      </c>
      <c r="K327" s="1171">
        <f ca="1">IF(I327&gt;0,J327*100/I327,0)</f>
        <v>59.767441860465119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183000</v>
      </c>
      <c r="M328" s="972">
        <f t="shared" ca="1" si="149"/>
        <v>139750</v>
      </c>
      <c r="N328" s="972">
        <f t="shared" ca="1" si="149"/>
        <v>78477</v>
      </c>
      <c r="O328" s="972">
        <f t="shared" ref="O328:O336" ca="1" si="150">IF(L328&gt;0,N328*100/L328,0)</f>
        <v>42.88360655737705</v>
      </c>
      <c r="P328" s="972">
        <f t="shared" ref="P328:P336" ca="1" si="151">IF(M328&gt;0,N328*100/M328,0)</f>
        <v>56.155277280858677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183000</v>
      </c>
      <c r="M330" s="870">
        <f t="shared" ca="1" si="152"/>
        <v>139750</v>
      </c>
      <c r="N330" s="870">
        <f t="shared" ca="1" si="152"/>
        <v>78477</v>
      </c>
      <c r="O330" s="870">
        <f t="shared" ca="1" si="150"/>
        <v>42.88360655737705</v>
      </c>
      <c r="P330" s="870">
        <f t="shared" ca="1" si="151"/>
        <v>56.155277280858677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183000</v>
      </c>
      <c r="M331" s="864">
        <f t="shared" ca="1" si="153"/>
        <v>139750</v>
      </c>
      <c r="N331" s="864">
        <f t="shared" ca="1" si="153"/>
        <v>78477</v>
      </c>
      <c r="O331" s="864">
        <f t="shared" ca="1" si="150"/>
        <v>42.88360655737705</v>
      </c>
      <c r="P331" s="864">
        <f t="shared" ca="1" si="151"/>
        <v>56.155277280858677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IFERROR(__xludf.DUMMYFUNCTION("IMPORTRANGE(""https://docs.google.com/spreadsheets/d/1MeEWN-I1oV_STSDYn1IFDPWt_1FKiwhDph83XaGc0o0/edit?usp=sharing"",""งบพรบ!EM33"")"),183000)</f>
        <v>183000</v>
      </c>
      <c r="M333" s="870">
        <f ca="1">IFERROR(__xludf.DUMMYFUNCTION("IMPORTRANGE(""https://docs.google.com/spreadsheets/d/1MeEWN-I1oV_STSDYn1IFDPWt_1FKiwhDph83XaGc0o0/edit?usp=sharing"",""งบพรบ!ER33"")"),139750)</f>
        <v>139750</v>
      </c>
      <c r="N333" s="870">
        <f ca="1">IFERROR(__xludf.DUMMYFUNCTION("IMPORTRANGE(""https://docs.google.com/spreadsheets/d/1MeEWN-I1oV_STSDYn1IFDPWt_1FKiwhDph83XaGc0o0/edit?usp=sharing"",""งบพรบ!ET33"")"),78477)</f>
        <v>78477</v>
      </c>
      <c r="O333" s="870">
        <f t="shared" ca="1" si="150"/>
        <v>42.88360655737705</v>
      </c>
      <c r="P333" s="870">
        <f t="shared" ca="1" si="151"/>
        <v>56.155277280858677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IFERROR(__xludf.DUMMYFUNCTION("IMPORTRANGE(""https://docs.google.com/spreadsheets/d/1MeEWN-I1oV_STSDYn1IFDPWt_1FKiwhDph83XaGc0o0/edit?usp=sharing"",""งบพรบ!EP33"")"),0)</f>
        <v>0</v>
      </c>
      <c r="M336" s="870">
        <f ca="1">IFERROR(__xludf.DUMMYFUNCTION("IMPORTRANGE(""https://docs.google.com/spreadsheets/d/1MeEWN-I1oV_STSDYn1IFDPWt_1FKiwhDph83XaGc0o0/edit?usp=sharing"",""งบพรบ!ES33"")"),0)</f>
        <v>0</v>
      </c>
      <c r="N336" s="870">
        <f ca="1">IFERROR(__xludf.DUMMYFUNCTION("IMPORTRANGE(""https://docs.google.com/spreadsheets/d/1MeEWN-I1oV_STSDYn1IFDPWt_1FKiwhDph83XaGc0o0/edit?usp=sharing"",""งบพรบ!EU33"")"),0)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IFERROR(__xludf.DUMMYFUNCTION("IMPORTRANGE(""https://docs.google.com/spreadsheets/d/1QqKyyYR6Q21VydFLVH3TRQUabQu_ym0Zz7PgGX0-kHA/edit?usp=sharing"",""แผน!EG33"")"),4300)</f>
        <v>4300</v>
      </c>
      <c r="J338" s="863">
        <f ca="1">IFERROR(__xludf.DUMMYFUNCTION("IMPORTRANGE(""https://docs.google.com/spreadsheets/d/1kVcqe37tkHyjCSG3S0O1AXqVkqjo8mSIZil3BcpIysc/edit?usp=sharing"",""ศูนย์!D33"")"),2356)</f>
        <v>2356</v>
      </c>
      <c r="K338" s="864">
        <f ca="1">IF(I338&gt;0,J338*100/I338,0)</f>
        <v>54.790697674418603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IFERROR(__xludf.DUMMYFUNCTION("IMPORTRANGE(""https://docs.google.com/spreadsheets/d/1QqKyyYR6Q21VydFLVH3TRQUabQu_ym0Zz7PgGX0-kHA/edit?usp=sharing"",""แผน!EH33"")"),10)</f>
        <v>10</v>
      </c>
      <c r="J340" s="863">
        <f ca="1">IFERROR(__xludf.DUMMYFUNCTION("IMPORTRANGE(""https://docs.google.com/spreadsheets/d/1kVcqe37tkHyjCSG3S0O1AXqVkqjo8mSIZil3BcpIysc/edit?usp=sharing"",""ศูนย์!E33"")"),6)</f>
        <v>6</v>
      </c>
      <c r="K340" s="864">
        <f ca="1">IF(I340&gt;0,J340*100/I340,0)</f>
        <v>60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IFERROR(__xludf.DUMMYFUNCTION("IMPORTRANGE(""https://docs.google.com/spreadsheets/d/1kVcqe37tkHyjCSG3S0O1AXqVkqjo8mSIZil3BcpIysc/edit?usp=sharing"",""ศูนย์!F33"")"),214)</f>
        <v>214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IFERROR(__xludf.DUMMYFUNCTION("IMPORTRANGE(""https://docs.google.com/spreadsheets/d/1kVcqe37tkHyjCSG3S0O1AXqVkqjo8mSIZil3BcpIysc/edit?usp=sharing"",""ศูนย์!G33"")"),0)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IFERROR(__xludf.DUMMYFUNCTION("IMPORTRANGE(""https://docs.google.com/spreadsheets/d/1kVcqe37tkHyjCSG3S0O1AXqVkqjo8mSIZil3BcpIysc/edit?usp=sharing"",""ศูนย์!H33"")"),0)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1082650</v>
      </c>
      <c r="M345" s="972">
        <f t="shared" ca="1" si="155"/>
        <v>946350</v>
      </c>
      <c r="N345" s="972">
        <f t="shared" ca="1" si="155"/>
        <v>529109.49</v>
      </c>
      <c r="O345" s="972">
        <f t="shared" ref="O345:O353" ca="1" si="156">IF(L345&gt;0,N345*100/L345,0)</f>
        <v>48.871702766360322</v>
      </c>
      <c r="P345" s="972">
        <f t="shared" ref="P345:P353" ca="1" si="157">IF(M345&gt;0,N345*100/M345,0)</f>
        <v>55.910550007925188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1082650</v>
      </c>
      <c r="M347" s="870">
        <f t="shared" ca="1" si="158"/>
        <v>946350</v>
      </c>
      <c r="N347" s="870">
        <f t="shared" ca="1" si="158"/>
        <v>529109.49</v>
      </c>
      <c r="O347" s="870">
        <f t="shared" ca="1" si="156"/>
        <v>48.871702766360322</v>
      </c>
      <c r="P347" s="870">
        <f t="shared" ca="1" si="157"/>
        <v>55.910550007925188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984850</v>
      </c>
      <c r="M348" s="864">
        <f t="shared" ca="1" si="159"/>
        <v>849150</v>
      </c>
      <c r="N348" s="864">
        <f t="shared" ca="1" si="159"/>
        <v>431909.49</v>
      </c>
      <c r="O348" s="864">
        <f t="shared" ca="1" si="156"/>
        <v>43.855357668680512</v>
      </c>
      <c r="P348" s="864">
        <f t="shared" ca="1" si="157"/>
        <v>50.863744921391984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IFERROR(__xludf.DUMMYFUNCTION("IMPORTRANGE(""https://docs.google.com/spreadsheets/d/1MeEWN-I1oV_STSDYn1IFDPWt_1FKiwhDph83XaGc0o0/edit?usp=sharing"",""งบพรบ!EW33"")"),984850)</f>
        <v>984850</v>
      </c>
      <c r="M350" s="870">
        <f ca="1">IFERROR(__xludf.DUMMYFUNCTION("IMPORTRANGE(""https://docs.google.com/spreadsheets/d/1MeEWN-I1oV_STSDYn1IFDPWt_1FKiwhDph83XaGc0o0/edit?usp=sharing"",""งบพรบ!FB33"")"),849150)</f>
        <v>849150</v>
      </c>
      <c r="N350" s="870">
        <f ca="1">IFERROR(__xludf.DUMMYFUNCTION("IMPORTRANGE(""https://docs.google.com/spreadsheets/d/1MeEWN-I1oV_STSDYn1IFDPWt_1FKiwhDph83XaGc0o0/edit?usp=sharing"",""งบพรบ!FD33"")"),431909.49)</f>
        <v>431909.49</v>
      </c>
      <c r="O350" s="870">
        <f t="shared" ca="1" si="156"/>
        <v>43.855357668680512</v>
      </c>
      <c r="P350" s="870">
        <f t="shared" ca="1" si="157"/>
        <v>50.863744921391984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97800</v>
      </c>
      <c r="M351" s="864">
        <f t="shared" ca="1" si="160"/>
        <v>97200</v>
      </c>
      <c r="N351" s="864">
        <f t="shared" ca="1" si="160"/>
        <v>97200</v>
      </c>
      <c r="O351" s="864">
        <f t="shared" ca="1" si="156"/>
        <v>99.386503067484668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IFERROR(__xludf.DUMMYFUNCTION("IMPORTRANGE(""https://docs.google.com/spreadsheets/d/1MeEWN-I1oV_STSDYn1IFDPWt_1FKiwhDph83XaGc0o0/edit?usp=sharing"",""งบพรบ!EZ33"")"),97800)</f>
        <v>97800</v>
      </c>
      <c r="M353" s="870">
        <f ca="1">IFERROR(__xludf.DUMMYFUNCTION("IMPORTRANGE(""https://docs.google.com/spreadsheets/d/1MeEWN-I1oV_STSDYn1IFDPWt_1FKiwhDph83XaGc0o0/edit?usp=sharing"",""งบพรบ!FC33"")"),97200)</f>
        <v>97200</v>
      </c>
      <c r="N353" s="870">
        <f ca="1">IFERROR(__xludf.DUMMYFUNCTION("IMPORTRANGE(""https://docs.google.com/spreadsheets/d/1MeEWN-I1oV_STSDYn1IFDPWt_1FKiwhDph83XaGc0o0/edit?usp=sharing"",""งบพรบ!FE33"")"),97200)</f>
        <v>97200</v>
      </c>
      <c r="O353" s="870">
        <f t="shared" ca="1" si="156"/>
        <v>99.386503067484668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IFERROR(__xludf.DUMMYFUNCTION("IMPORTRANGE(""https://docs.google.com/spreadsheets/d/1QqKyyYR6Q21VydFLVH3TRQUabQu_ym0Zz7PgGX0-kHA/edit?usp=sharing"",""แผน!EP33"")"),450)</f>
        <v>450</v>
      </c>
      <c r="J355" s="1186">
        <f ca="1">J362</f>
        <v>105</v>
      </c>
      <c r="K355" s="1187">
        <f ca="1">IF(I355&gt;0,J355*100/I355,0)</f>
        <v>23.333333333333332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IFERROR(__xludf.DUMMYFUNCTION("IMPORTRANGE(""https://docs.google.com/spreadsheets/d/1XWAQStnk-4SwqDmLtmXYiTMKHgktTP8We1SCoS47DrQ/edit?usp=sharing"",""จัดที่ดิน!W33"")"),175)</f>
        <v>175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IFERROR(__xludf.DUMMYFUNCTION("IMPORTRANGE(""https://docs.google.com/spreadsheets/d/1QqKyyYR6Q21VydFLVH3TRQUabQu_ym0Zz7PgGX0-kHA/edit?usp=sharing"",""แผน!EO33"")"),4500)</f>
        <v>4500</v>
      </c>
      <c r="J359" s="863">
        <f ca="1">IFERROR(__xludf.DUMMYFUNCTION("IMPORTRANGE(""https://docs.google.com/spreadsheets/d/1XWAQStnk-4SwqDmLtmXYiTMKHgktTP8We1SCoS47DrQ/edit?usp=sharing"",""จัดที่ดิน!X33"")"),1572.7)</f>
        <v>1572.7</v>
      </c>
      <c r="K359" s="864">
        <f t="shared" ca="1" si="161"/>
        <v>34.948888888888888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IFERROR(__xludf.DUMMYFUNCTION("IMPORTRANGE(""https://docs.google.com/spreadsheets/d/1QqKyyYR6Q21VydFLVH3TRQUabQu_ym0Zz7PgGX0-kHA/edit?usp=sharing"",""แผน!EP33"")"),450)</f>
        <v>450</v>
      </c>
      <c r="J360" s="863">
        <f ca="1">IFERROR(__xludf.DUMMYFUNCTION("IMPORTRANGE(""https://docs.google.com/spreadsheets/d/1XWAQStnk-4SwqDmLtmXYiTMKHgktTP8We1SCoS47DrQ/edit?usp=sharing"",""จัดที่ดิน!Y33"")"),146)</f>
        <v>146</v>
      </c>
      <c r="K360" s="864">
        <f t="shared" ca="1" si="161"/>
        <v>32.444444444444443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IFERROR(__xludf.DUMMYFUNCTION("IMPORTRANGE(""https://docs.google.com/spreadsheets/d/1XWAQStnk-4SwqDmLtmXYiTMKHgktTP8We1SCoS47DrQ/edit?usp=sharing"",""จัดที่ดิน!Z33"")"),1237.44)</f>
        <v>1237.44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IFERROR(__xludf.DUMMYFUNCTION("IMPORTRANGE(""https://docs.google.com/spreadsheets/d/1QqKyyYR6Q21VydFLVH3TRQUabQu_ym0Zz7PgGX0-kHA/edit?usp=sharing"",""แผน!EP33"")"),450)</f>
        <v>450</v>
      </c>
      <c r="J362" s="863">
        <f ca="1">IFERROR(__xludf.DUMMYFUNCTION("IMPORTRANGE(""https://docs.google.com/spreadsheets/d/1XWAQStnk-4SwqDmLtmXYiTMKHgktTP8We1SCoS47DrQ/edit?usp=sharing"",""จัดที่ดิน!AA33"")"),105)</f>
        <v>105</v>
      </c>
      <c r="K362" s="864">
        <f t="shared" ca="1" si="161"/>
        <v>23.333333333333332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IFERROR(__xludf.DUMMYFUNCTION("IMPORTRANGE(""https://docs.google.com/spreadsheets/d/1XWAQStnk-4SwqDmLtmXYiTMKHgktTP8We1SCoS47DrQ/edit?usp=sharing"",""จัดที่ดิน!AB33"")"),852.22)</f>
        <v>852.22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950</v>
      </c>
      <c r="J364" s="1199">
        <f t="shared" ca="1" si="162"/>
        <v>512</v>
      </c>
      <c r="K364" s="1200">
        <f t="shared" ca="1" si="161"/>
        <v>53.89473684210526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IFERROR(__xludf.DUMMYFUNCTION("IMPORTRANGE(""https://docs.google.com/spreadsheets/d/1QqKyyYR6Q21VydFLVH3TRQUabQu_ym0Zz7PgGX0-kHA/edit?usp=sharing"",""แผน!EJ33"")"),100)</f>
        <v>100</v>
      </c>
      <c r="J365" s="1207">
        <f ca="1">J372</f>
        <v>6</v>
      </c>
      <c r="K365" s="1208">
        <f t="shared" ca="1" si="161"/>
        <v>6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IFERROR(__xludf.DUMMYFUNCTION("IMPORTRANGE(""https://docs.google.com/spreadsheets/d/1XWAQStnk-4SwqDmLtmXYiTMKHgktTP8We1SCoS47DrQ/edit?usp=sharing"",""จัดที่ดิน!E33"")"),76)</f>
        <v>76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IFERROR(__xludf.DUMMYFUNCTION("IMPORTRANGE(""https://docs.google.com/spreadsheets/d/1QqKyyYR6Q21VydFLVH3TRQUabQu_ym0Zz7PgGX0-kHA/edit?usp=sharing"",""แผน!EI33"")"),1000)</f>
        <v>1000</v>
      </c>
      <c r="J369" s="863">
        <f ca="1">IFERROR(__xludf.DUMMYFUNCTION("IMPORTRANGE(""https://docs.google.com/spreadsheets/d/1XWAQStnk-4SwqDmLtmXYiTMKHgktTP8We1SCoS47DrQ/edit?usp=sharing"",""จัดที่ดิน!F33"")"),748.25)</f>
        <v>748.25</v>
      </c>
      <c r="K369" s="864">
        <f t="shared" ca="1" si="163"/>
        <v>74.825000000000003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IFERROR(__xludf.DUMMYFUNCTION("IMPORTRANGE(""https://docs.google.com/spreadsheets/d/1QqKyyYR6Q21VydFLVH3TRQUabQu_ym0Zz7PgGX0-kHA/edit?usp=sharing"",""แผน!EJ33"")"),100)</f>
        <v>100</v>
      </c>
      <c r="J370" s="863">
        <f ca="1">IFERROR(__xludf.DUMMYFUNCTION("IMPORTRANGE(""https://docs.google.com/spreadsheets/d/1XWAQStnk-4SwqDmLtmXYiTMKHgktTP8We1SCoS47DrQ/edit?usp=sharing"",""จัดที่ดิน!G33"")"),47)</f>
        <v>47</v>
      </c>
      <c r="K370" s="864">
        <f t="shared" ca="1" si="163"/>
        <v>47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IFERROR(__xludf.DUMMYFUNCTION("IMPORTRANGE(""https://docs.google.com/spreadsheets/d/1XWAQStnk-4SwqDmLtmXYiTMKHgktTP8We1SCoS47DrQ/edit?usp=sharing"",""จัดที่ดิน!H33"")"),412.99)</f>
        <v>412.99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IFERROR(__xludf.DUMMYFUNCTION("IMPORTRANGE(""https://docs.google.com/spreadsheets/d/1QqKyyYR6Q21VydFLVH3TRQUabQu_ym0Zz7PgGX0-kHA/edit?usp=sharing"",""แผน!EJ33"")"),100)</f>
        <v>100</v>
      </c>
      <c r="J372" s="863">
        <f ca="1">IFERROR(__xludf.DUMMYFUNCTION("IMPORTRANGE(""https://docs.google.com/spreadsheets/d/1XWAQStnk-4SwqDmLtmXYiTMKHgktTP8We1SCoS47DrQ/edit?usp=sharing"",""จัดที่ดิน!I33"")"),6)</f>
        <v>6</v>
      </c>
      <c r="K372" s="864">
        <f t="shared" ca="1" si="163"/>
        <v>6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IFERROR(__xludf.DUMMYFUNCTION("IMPORTRANGE(""https://docs.google.com/spreadsheets/d/1XWAQStnk-4SwqDmLtmXYiTMKHgktTP8We1SCoS47DrQ/edit?usp=sharing"",""จัดที่ดิน!J33"")"),27.77)</f>
        <v>27.77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IFERROR(__xludf.DUMMYFUNCTION("IMPORTRANGE(""https://docs.google.com/spreadsheets/d/1QqKyyYR6Q21VydFLVH3TRQUabQu_ym0Zz7PgGX0-kHA/edit?usp=sharing"",""แผน!EU33"")"),850)</f>
        <v>850</v>
      </c>
      <c r="J374" s="1207">
        <f ca="1">J381</f>
        <v>506</v>
      </c>
      <c r="K374" s="1208">
        <f t="shared" ca="1" si="163"/>
        <v>59.529411764705884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IFERROR(__xludf.DUMMYFUNCTION("IMPORTRANGE(""https://docs.google.com/spreadsheets/d/1XWAQStnk-4SwqDmLtmXYiTMKHgktTP8We1SCoS47DrQ/edit?usp=sharing"",""จัดที่ดิน!AH33"")"),99)</f>
        <v>99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IFERROR(__xludf.DUMMYFUNCTION("IMPORTRANGE(""https://docs.google.com/spreadsheets/d/1QqKyyYR6Q21VydFLVH3TRQUabQu_ym0Zz7PgGX0-kHA/edit?usp=sharing"",""แผน!ET33"")"),3500)</f>
        <v>3500</v>
      </c>
      <c r="J378" s="863">
        <f ca="1">IFERROR(__xludf.DUMMYFUNCTION("IMPORTRANGE(""https://docs.google.com/spreadsheets/d/1XWAQStnk-4SwqDmLtmXYiTMKHgktTP8We1SCoS47DrQ/edit?usp=sharing"",""จัดที่ดิน!AI33"")"),824.45)</f>
        <v>824.45</v>
      </c>
      <c r="K378" s="864">
        <f t="shared" ca="1" si="164"/>
        <v>23.555714285714284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IFERROR(__xludf.DUMMYFUNCTION("IMPORTRANGE(""https://docs.google.com/spreadsheets/d/1QqKyyYR6Q21VydFLVH3TRQUabQu_ym0Zz7PgGX0-kHA/edit?usp=sharing"",""แผน!EU33"")"),850)</f>
        <v>850</v>
      </c>
      <c r="J379" s="863">
        <f ca="1">IFERROR(__xludf.DUMMYFUNCTION("IMPORTRANGE(""https://docs.google.com/spreadsheets/d/1XWAQStnk-4SwqDmLtmXYiTMKHgktTP8We1SCoS47DrQ/edit?usp=sharing"",""จัดที่ดิน!AJ33"")"),615)</f>
        <v>615</v>
      </c>
      <c r="K379" s="864">
        <f t="shared" ca="1" si="164"/>
        <v>72.352941176470594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IFERROR(__xludf.DUMMYFUNCTION("IMPORTRANGE(""https://docs.google.com/spreadsheets/d/1XWAQStnk-4SwqDmLtmXYiTMKHgktTP8We1SCoS47DrQ/edit?usp=sharing"",""จัดที่ดิน!AK33"")"),7445.09)</f>
        <v>7445.09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IFERROR(__xludf.DUMMYFUNCTION("IMPORTRANGE(""https://docs.google.com/spreadsheets/d/1QqKyyYR6Q21VydFLVH3TRQUabQu_ym0Zz7PgGX0-kHA/edit?usp=sharing"",""แผน!EU33"")"),850)</f>
        <v>850</v>
      </c>
      <c r="J381" s="863">
        <f ca="1">IFERROR(__xludf.DUMMYFUNCTION("IMPORTRANGE(""https://docs.google.com/spreadsheets/d/1XWAQStnk-4SwqDmLtmXYiTMKHgktTP8We1SCoS47DrQ/edit?usp=sharing"",""จัดที่ดิน!AL33"")"),506)</f>
        <v>506</v>
      </c>
      <c r="K381" s="864">
        <f t="shared" ca="1" si="164"/>
        <v>59.529411764705884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IFERROR(__xludf.DUMMYFUNCTION("IMPORTRANGE(""https://docs.google.com/spreadsheets/d/1XWAQStnk-4SwqDmLtmXYiTMKHgktTP8We1SCoS47DrQ/edit?usp=sharing"",""จัดที่ดิน!AM33"")"),5827.76999999999)</f>
        <v>5827.7699999999904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IFERROR(__xludf.DUMMYFUNCTION("IMPORTRANGE(""https://docs.google.com/spreadsheets/d/1QqKyyYR6Q21VydFLVH3TRQUabQu_ym0Zz7PgGX0-kHA/edit?usp=sharing"",""แผน!EW33"")"),20)</f>
        <v>20</v>
      </c>
      <c r="J385" s="1117">
        <f ca="1">IFERROR(__xludf.DUMMYFUNCTION("IMPORTRANGE(""https://docs.google.com/spreadsheets/d/1XWAQStnk-4SwqDmLtmXYiTMKHgktTP8We1SCoS47DrQ/edit?usp=sharing"",""จัดที่ดิน!AP33"")"),0)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IFERROR(__xludf.DUMMYFUNCTION("IMPORTRANGE(""https://docs.google.com/spreadsheets/d/1MeEWN-I1oV_STSDYn1IFDPWt_1FKiwhDph83XaGc0o0/edit?usp=sharing"",""งบพรบ!FG33"")"),0)</f>
        <v>0</v>
      </c>
      <c r="M394" s="870">
        <f ca="1">IFERROR(__xludf.DUMMYFUNCTION("IMPORTRANGE(""https://docs.google.com/spreadsheets/d/1MeEWN-I1oV_STSDYn1IFDPWt_1FKiwhDph83XaGc0o0/edit?usp=sharing"",""งบพรบ!FL33"")"),0)</f>
        <v>0</v>
      </c>
      <c r="N394" s="870">
        <f ca="1">IFERROR(__xludf.DUMMYFUNCTION("IMPORTRANGE(""https://docs.google.com/spreadsheets/d/1MeEWN-I1oV_STSDYn1IFDPWt_1FKiwhDph83XaGc0o0/edit?usp=sharing"",""งบพรบ!FN33"")"),0)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IFERROR(__xludf.DUMMYFUNCTION("IMPORTRANGE(""https://docs.google.com/spreadsheets/d/1MeEWN-I1oV_STSDYn1IFDPWt_1FKiwhDph83XaGc0o0/edit?usp=sharing"",""งบพรบ!FJ33"")"),0)</f>
        <v>0</v>
      </c>
      <c r="M397" s="870">
        <f ca="1">IFERROR(__xludf.DUMMYFUNCTION("IMPORTRANGE(""https://docs.google.com/spreadsheets/d/1MeEWN-I1oV_STSDYn1IFDPWt_1FKiwhDph83XaGc0o0/edit?usp=sharing"",""งบพรบ!FM33"")"),0)</f>
        <v>0</v>
      </c>
      <c r="N397" s="870">
        <f ca="1">IFERROR(__xludf.DUMMYFUNCTION("IMPORTRANGE(""https://docs.google.com/spreadsheets/d/1MeEWN-I1oV_STSDYn1IFDPWt_1FKiwhDph83XaGc0o0/edit?usp=sharing"",""งบพรบ!FO33"")"),0)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IFERROR(__xludf.DUMMYFUNCTION("IMPORTRANGE(""https://docs.google.com/spreadsheets/d/1MeEWN-I1oV_STSDYn1IFDPWt_1FKiwhDph83XaGc0o0/edit?usp=sharing"",""งบพรบ!FQ33"")"),0)</f>
        <v>0</v>
      </c>
      <c r="M407" s="870">
        <f ca="1">IFERROR(__xludf.DUMMYFUNCTION("IMPORTRANGE(""https://docs.google.com/spreadsheets/d/1MeEWN-I1oV_STSDYn1IFDPWt_1FKiwhDph83XaGc0o0/edit?usp=sharing"",""งบพรบ!FV33"")"),0)</f>
        <v>0</v>
      </c>
      <c r="N407" s="870">
        <f ca="1">IFERROR(__xludf.DUMMYFUNCTION("IMPORTRANGE(""https://docs.google.com/spreadsheets/d/1MeEWN-I1oV_STSDYn1IFDPWt_1FKiwhDph83XaGc0o0/edit?usp=sharing"",""งบพรบ!FX33"")"),0)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IFERROR(__xludf.DUMMYFUNCTION("IMPORTRANGE(""https://docs.google.com/spreadsheets/d/1MeEWN-I1oV_STSDYn1IFDPWt_1FKiwhDph83XaGc0o0/edit?usp=sharing"",""งบพรบ!FT33"")"),0)</f>
        <v>0</v>
      </c>
      <c r="M410" s="870">
        <f ca="1">IFERROR(__xludf.DUMMYFUNCTION("IMPORTRANGE(""https://docs.google.com/spreadsheets/d/1MeEWN-I1oV_STSDYn1IFDPWt_1FKiwhDph83XaGc0o0/edit?usp=sharing"",""งบพรบ!FW33"")"),0)</f>
        <v>0</v>
      </c>
      <c r="N410" s="870">
        <f ca="1">IFERROR(__xludf.DUMMYFUNCTION("IMPORTRANGE(""https://docs.google.com/spreadsheets/d/1MeEWN-I1oV_STSDYn1IFDPWt_1FKiwhDph83XaGc0o0/edit?usp=sharing"",""งบพรบ!FY33"")"),0)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1659511</v>
      </c>
      <c r="M414" s="1257">
        <f t="shared" si="181"/>
        <v>0</v>
      </c>
      <c r="N414" s="1257">
        <f t="shared" si="181"/>
        <v>356489.63</v>
      </c>
      <c r="O414" s="1257">
        <f ca="1">IF(L414&gt;0,N414*100/L414,0)</f>
        <v>21.481606931198407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52000</v>
      </c>
      <c r="O419" s="972">
        <f t="shared" ref="O419:O424" ca="1" si="185">IF(L419&gt;0,N419*100/L419,0)</f>
        <v>66.107297228578688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52000</v>
      </c>
      <c r="O421" s="870">
        <f t="shared" ca="1" si="185"/>
        <v>66.107297228578688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52000</v>
      </c>
      <c r="O422" s="864">
        <f t="shared" ca="1" si="185"/>
        <v>66.107297228578688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IFERROR(__xludf.DUMMYFUNCTION("IMPORTRANGE(""https://docs.google.com/spreadsheets/d/1QqKyyYR6Q21VydFLVH3TRQUabQu_ym0Zz7PgGX0-kHA/edit?usp=sharing"",""แผน!EY33"")"),78660)</f>
        <v>78660</v>
      </c>
      <c r="M424" s="870">
        <v>0</v>
      </c>
      <c r="N424" s="870">
        <f>N425+N426+N427+N428</f>
        <v>52000</v>
      </c>
      <c r="O424" s="870">
        <f t="shared" ca="1" si="185"/>
        <v>66.107297228578688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28440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23560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IFERROR(__xludf.DUMMYFUNCTION("IMPORTRANGE(""https://docs.google.com/spreadsheets/d/1QqKyyYR6Q21VydFLVH3TRQUabQu_ym0Zz7PgGX0-kHA/edit?usp=sharing"",""แผน!FB33"")"),0)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IFERROR(__xludf.DUMMYFUNCTION("IMPORTRANGE(""https://docs.google.com/spreadsheets/d/1QqKyyYR6Q21VydFLVH3TRQUabQu_ym0Zz7PgGX0-kHA/edit?usp=sharing"",""แผน!FC33"")"),20)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IFERROR(__xludf.DUMMYFUNCTION("IMPORTRANGE(""https://docs.google.com/spreadsheets/d/1QqKyyYR6Q21VydFLVH3TRQUabQu_ym0Zz7PgGX0-kHA/edit?usp=sharing"",""แผน!FD33"")"),0)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IFERROR(__xludf.DUMMYFUNCTION("IMPORTRANGE(""https://docs.google.com/spreadsheets/d/1QqKyyYR6Q21VydFLVH3TRQUabQu_ym0Zz7PgGX0-kHA/edit?usp=sharing"",""แผน!FE33"")"),0)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IFERROR(__xludf.DUMMYFUNCTION("IMPORTRANGE(""https://docs.google.com/spreadsheets/d/1QqKyyYR6Q21VydFLVH3TRQUabQu_ym0Zz7PgGX0-kHA/edit?usp=sharing"",""แผน!FF33"")"),20)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IFERROR(__xludf.DUMMYFUNCTION("IMPORTRANGE(""https://docs.google.com/spreadsheets/d/1QqKyyYR6Q21VydFLVH3TRQUabQu_ym0Zz7PgGX0-kHA/edit?usp=sharing"",""แผน!FG33"")"),1)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IFERROR(__xludf.DUMMYFUNCTION("IMPORTRANGE(""https://docs.google.com/spreadsheets/d/1QqKyyYR6Q21VydFLVH3TRQUabQu_ym0Zz7PgGX0-kHA/edit?usp=sharing"",""แผน!FH33"")"),0)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55</v>
      </c>
      <c r="J442" s="1285">
        <f t="shared" si="195"/>
        <v>0</v>
      </c>
      <c r="K442" s="1286">
        <f t="shared" ca="1" si="194"/>
        <v>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95</v>
      </c>
      <c r="J443" s="1270">
        <f t="shared" si="196"/>
        <v>0</v>
      </c>
      <c r="K443" s="1271">
        <f t="shared" ca="1" si="194"/>
        <v>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374350</v>
      </c>
      <c r="M444" s="1000">
        <f t="shared" si="197"/>
        <v>0</v>
      </c>
      <c r="N444" s="1000">
        <f t="shared" si="197"/>
        <v>87534.63</v>
      </c>
      <c r="O444" s="1000">
        <f t="shared" ref="O444:O449" ca="1" si="198">IF(L444&gt;0,N444*100/L444,0)</f>
        <v>23.383098704420995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374350</v>
      </c>
      <c r="M446" s="870">
        <f t="shared" si="200"/>
        <v>0</v>
      </c>
      <c r="N446" s="870">
        <f t="shared" si="200"/>
        <v>87534.63</v>
      </c>
      <c r="O446" s="870">
        <f t="shared" ca="1" si="198"/>
        <v>23.383098704420995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374350</v>
      </c>
      <c r="M447" s="864">
        <f t="shared" si="201"/>
        <v>0</v>
      </c>
      <c r="N447" s="864">
        <f t="shared" si="201"/>
        <v>87534.63</v>
      </c>
      <c r="O447" s="864">
        <f t="shared" ca="1" si="198"/>
        <v>23.383098704420995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IFERROR(__xludf.DUMMYFUNCTION("IMPORTRANGE(""https://docs.google.com/spreadsheets/d/1QqKyyYR6Q21VydFLVH3TRQUabQu_ym0Zz7PgGX0-kHA/edit?usp=sharing"",""แผน!FJ33"")"),374350)</f>
        <v>374350</v>
      </c>
      <c r="M449" s="870">
        <v>0</v>
      </c>
      <c r="N449" s="870">
        <f>N450+N451+N452+N453</f>
        <v>87534.63</v>
      </c>
      <c r="O449" s="870">
        <f t="shared" ca="1" si="198"/>
        <v>23.383098704420995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50294.63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37240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IFERROR(__xludf.DUMMYFUNCTION("IMPORTRANGE(""https://docs.google.com/spreadsheets/d/1QqKyyYR6Q21VydFLVH3TRQUabQu_ym0Zz7PgGX0-kHA/edit?usp=sharing"",""แผน!FM33"")"),0)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IFERROR(__xludf.DUMMYFUNCTION("IMPORTRANGE(""https://docs.google.com/spreadsheets/d/1QqKyyYR6Q21VydFLVH3TRQUabQu_ym0Zz7PgGX0-kHA/edit?usp=sharing"",""แผน!FN33"")"),55)</f>
        <v>55</v>
      </c>
      <c r="J460" s="992">
        <v>0</v>
      </c>
      <c r="K460" s="864">
        <f ca="1">IF(I460&gt;0,J460*100/I460,0)</f>
        <v>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IFERROR(__xludf.DUMMYFUNCTION("IMPORTRANGE(""https://docs.google.com/spreadsheets/d/1QqKyyYR6Q21VydFLVH3TRQUabQu_ym0Zz7PgGX0-kHA/edit?usp=sharing"",""แผน!FO33"")"),95)</f>
        <v>95</v>
      </c>
      <c r="J462" s="992">
        <v>0</v>
      </c>
      <c r="K462" s="864">
        <f ca="1">IF(I462&gt;0,J462*100/I462,0)</f>
        <v>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IFERROR(__xludf.DUMMYFUNCTION("IMPORTRANGE(""https://docs.google.com/spreadsheets/d/1QqKyyYR6Q21VydFLVH3TRQUabQu_ym0Zz7PgGX0-kHA/edit?usp=sharing"",""แผน!FO33"")"),95)</f>
        <v>95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IFERROR(__xludf.DUMMYFUNCTION("IMPORTRANGE(""https://docs.google.com/spreadsheets/d/1QqKyyYR6Q21VydFLVH3TRQUabQu_ym0Zz7PgGX0-kHA/edit?usp=sharing"",""แผน!FN33"")"),55)</f>
        <v>55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IFERROR(__xludf.DUMMYFUNCTION("IMPORTRANGE(""https://docs.google.com/spreadsheets/d/1QqKyyYR6Q21VydFLVH3TRQUabQu_ym0Zz7PgGX0-kHA/edit?usp=sharing"",""แผน!FX33"")"),61)</f>
        <v>61</v>
      </c>
      <c r="J465" s="1285">
        <f>J485+J489+J492</f>
        <v>1</v>
      </c>
      <c r="K465" s="1286">
        <f t="shared" ref="K465:K466" ca="1" si="205">IF(I465&gt;0,J465*100/I465,0)</f>
        <v>1.639344262295082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IFERROR(__xludf.DUMMYFUNCTION("IMPORTRANGE(""https://docs.google.com/spreadsheets/d/1QqKyyYR6Q21VydFLVH3TRQUabQu_ym0Zz7PgGX0-kHA/edit?usp=sharing"",""แผน!FW33"")"),600)</f>
        <v>600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489753</v>
      </c>
      <c r="M467" s="1000">
        <f t="shared" si="206"/>
        <v>0</v>
      </c>
      <c r="N467" s="1000">
        <f t="shared" si="206"/>
        <v>18540</v>
      </c>
      <c r="O467" s="1000">
        <f t="shared" ref="O467:O472" ca="1" si="207">IF(L467&gt;0,N467*100/L467,0)</f>
        <v>3.7855817115974788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489753</v>
      </c>
      <c r="M469" s="870">
        <f t="shared" si="209"/>
        <v>0</v>
      </c>
      <c r="N469" s="870">
        <f t="shared" si="209"/>
        <v>18540</v>
      </c>
      <c r="O469" s="870">
        <f t="shared" ca="1" si="207"/>
        <v>3.7855817115974788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489753</v>
      </c>
      <c r="M470" s="864">
        <f t="shared" si="210"/>
        <v>0</v>
      </c>
      <c r="N470" s="864">
        <f t="shared" si="210"/>
        <v>18540</v>
      </c>
      <c r="O470" s="864">
        <f t="shared" ca="1" si="207"/>
        <v>3.7855817115974788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IFERROR(__xludf.DUMMYFUNCTION("IMPORTRANGE(""https://docs.google.com/spreadsheets/d/1QqKyyYR6Q21VydFLVH3TRQUabQu_ym0Zz7PgGX0-kHA/edit?usp=sharing"",""แผน!FS33"")"),489753)</f>
        <v>489753</v>
      </c>
      <c r="M472" s="870">
        <v>0</v>
      </c>
      <c r="N472" s="870">
        <f>N473+N474+N475+N476</f>
        <v>18540</v>
      </c>
      <c r="O472" s="870">
        <f t="shared" ca="1" si="207"/>
        <v>3.7855817115974788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18540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IFERROR(__xludf.DUMMYFUNCTION("IMPORTRANGE(""https://docs.google.com/spreadsheets/d/1QqKyyYR6Q21VydFLVH3TRQUabQu_ym0Zz7PgGX0-kHA/edit?usp=sharing"",""แผน!FV33"")"),0)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IFERROR(__xludf.DUMMYFUNCTION("IMPORTRANGE(""https://docs.google.com/spreadsheets/d/1QqKyyYR6Q21VydFLVH3TRQUabQu_ym0Zz7PgGX0-kHA/edit?usp=sharing"",""แผน!FY33"")"),540)</f>
        <v>540</v>
      </c>
      <c r="J483" s="992">
        <v>0</v>
      </c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IFERROR(__xludf.DUMMYFUNCTION("IMPORTRANGE(""https://docs.google.com/spreadsheets/d/1QqKyyYR6Q21VydFLVH3TRQUabQu_ym0Zz7PgGX0-kHA/edit?usp=sharing"",""แผน!FZ33"")"),54)</f>
        <v>54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IFERROR(__xludf.DUMMYFUNCTION("IMPORTRANGE(""https://docs.google.com/spreadsheets/d/1QqKyyYR6Q21VydFLVH3TRQUabQu_ym0Zz7PgGX0-kHA/edit?usp=sharing"",""แผน!GA33"")"),60)</f>
        <v>60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IFERROR(__xludf.DUMMYFUNCTION("IMPORTRANGE(""https://docs.google.com/spreadsheets/d/1QqKyyYR6Q21VydFLVH3TRQUabQu_ym0Zz7PgGX0-kHA/edit?usp=sharing"",""แผน!GB33"")"),6)</f>
        <v>6</v>
      </c>
      <c r="J489" s="992">
        <v>0</v>
      </c>
      <c r="K489" s="864">
        <f ca="1">IF(I489&gt;0,J489*100/I489,0)</f>
        <v>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IFERROR(__xludf.DUMMYFUNCTION("IMPORTRANGE(""https://docs.google.com/spreadsheets/d/1QqKyyYR6Q21VydFLVH3TRQUabQu_ym0Zz7PgGX0-kHA/edit?usp=sharing"",""แผน!GC33"")"),1)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IFERROR(__xludf.DUMMYFUNCTION("IMPORTRANGE(""https://docs.google.com/spreadsheets/d/1QqKyyYR6Q21VydFLVH3TRQUabQu_ym0Zz7PgGX0-kHA/edit?usp=sharing"",""แผน!FY33"")"),540)</f>
        <v>540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IFERROR(__xludf.DUMMYFUNCTION("IMPORTRANGE(""https://docs.google.com/spreadsheets/d/1QqKyyYR6Q21VydFLVH3TRQUabQu_ym0Zz7PgGX0-kHA/edit?usp=sharing"",""แผน!GA33"")"),60)</f>
        <v>60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IFERROR(__xludf.DUMMYFUNCTION("IMPORTRANGE(""https://docs.google.com/spreadsheets/d/1QqKyyYR6Q21VydFLVH3TRQUabQu_ym0Zz7PgGX0-kHA/edit?usp=sharing"",""แผน!GQ33"")"),0)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IFERROR(__xludf.DUMMYFUNCTION("IMPORTRANGE(""https://docs.google.com/spreadsheets/d/1QqKyyYR6Q21VydFLVH3TRQUabQu_ym0Zz7PgGX0-kHA/edit?usp=sharing"",""แผน!GT33"")"),0)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IFERROR(__xludf.DUMMYFUNCTION("IMPORTRANGE(""https://docs.google.com/spreadsheets/d/1QqKyyYR6Q21VydFLVH3TRQUabQu_ym0Zz7PgGX0-kHA/edit?usp=sharing"",""แผน!GU33"")"),0)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IFERROR(__xludf.DUMMYFUNCTION("IMPORTRANGE(""https://docs.google.com/spreadsheets/d/1QqKyyYR6Q21VydFLVH3TRQUabQu_ym0Zz7PgGX0-kHA/edit?usp=sharing"",""แผน!GV33"")"),0)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IFERROR(__xludf.DUMMYFUNCTION("IMPORTRANGE(""https://docs.google.com/spreadsheets/d/1QqKyyYR6Q21VydFLVH3TRQUabQu_ym0Zz7PgGX0-kHA/edit?usp=sharing"",""แผน!GW33"")"),0)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IFERROR(__xludf.DUMMYFUNCTION("IMPORTRANGE(""https://docs.google.com/spreadsheets/d/1QqKyyYR6Q21VydFLVH3TRQUabQu_ym0Zz7PgGX0-kHA/edit?usp=sharing"",""แผน!GX33"")"),0)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IFERROR(__xludf.DUMMYFUNCTION("IMPORTRANGE(""https://docs.google.com/spreadsheets/d/1QqKyyYR6Q21VydFLVH3TRQUabQu_ym0Zz7PgGX0-kHA/edit?usp=sharing"",""แผน!GY33"")"),0)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IFERROR(__xludf.DUMMYFUNCTION("IMPORTRANGE(""https://docs.google.com/spreadsheets/d/1QqKyyYR6Q21VydFLVH3TRQUabQu_ym0Zz7PgGX0-kHA/edit?usp=sharing"",""แผน!GZ33"")"),0)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73574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477343</v>
      </c>
      <c r="M544" s="972">
        <f t="shared" si="236"/>
        <v>0</v>
      </c>
      <c r="N544" s="972">
        <f t="shared" si="236"/>
        <v>198415</v>
      </c>
      <c r="O544" s="972">
        <f t="shared" ref="O544:O549" ca="1" si="237">IF(L544&gt;0,N544*100/L544,0)</f>
        <v>41.566546487536215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477343</v>
      </c>
      <c r="M546" s="870">
        <f t="shared" si="240"/>
        <v>0</v>
      </c>
      <c r="N546" s="870">
        <f t="shared" si="240"/>
        <v>198415</v>
      </c>
      <c r="O546" s="870">
        <f t="shared" ca="1" si="237"/>
        <v>41.566546487536215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477343</v>
      </c>
      <c r="M547" s="864">
        <f t="shared" si="241"/>
        <v>0</v>
      </c>
      <c r="N547" s="864">
        <f t="shared" si="241"/>
        <v>198415</v>
      </c>
      <c r="O547" s="864">
        <f t="shared" ca="1" si="237"/>
        <v>41.566546487536215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IFERROR(__xludf.DUMMYFUNCTION("IMPORTRANGE(""https://docs.google.com/spreadsheets/d/1QqKyyYR6Q21VydFLVH3TRQUabQu_ym0Zz7PgGX0-kHA/edit?usp=sharing"",""แผน!HB33"")"),477343)</f>
        <v>477343</v>
      </c>
      <c r="M549" s="870">
        <v>0</v>
      </c>
      <c r="N549" s="870">
        <f>N550+N551+N552+N553+N554</f>
        <v>198415</v>
      </c>
      <c r="O549" s="870">
        <f t="shared" ca="1" si="237"/>
        <v>41.566546487536215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146415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IFERROR(__xludf.DUMMYFUNCTION("IMPORTRANGE(""https://docs.google.com/spreadsheets/d/1QqKyyYR6Q21VydFLVH3TRQUabQu_ym0Zz7PgGX0-kHA/edit?usp=sharing"",""แผน!HF33"")"),0)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73574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IFERROR(__xludf.DUMMYFUNCTION("IMPORTRANGE(""https://docs.google.com/spreadsheets/d/1QqKyyYR6Q21VydFLVH3TRQUabQu_ym0Zz7PgGX0-kHA/edit?usp=sharing"",""แผน!HH33"")"),73574)</f>
        <v>73574</v>
      </c>
      <c r="J560" s="998">
        <f t="shared" ref="J560:J561" si="247">J562+J564+J566</f>
        <v>73574.36</v>
      </c>
      <c r="K560" s="1142">
        <f t="shared" ca="1" si="246"/>
        <v>100.00048930328649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IFERROR(__xludf.DUMMYFUNCTION("IMPORTRANGE(""https://docs.google.com/spreadsheets/d/1QqKyyYR6Q21VydFLVH3TRQUabQu_ym0Zz7PgGX0-kHA/edit?usp=sharing"",""แผน!HG33"")"),7333)</f>
        <v>7333</v>
      </c>
      <c r="J561" s="998">
        <f t="shared" si="247"/>
        <v>7333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62059.56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6309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7370.39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664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4144.41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360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IFERROR(__xludf.DUMMYFUNCTION("IMPORTRANGE(""https://docs.google.com/spreadsheets/d/1QqKyyYR6Q21VydFLVH3TRQUabQu_ym0Zz7PgGX0-kHA/edit?usp=sharing"",""แผน!HH33"")"),73574)</f>
        <v>73574</v>
      </c>
      <c r="J568" s="999">
        <f t="shared" ref="J568:J569" si="248">J570+J572+J574</f>
        <v>28515.899999999998</v>
      </c>
      <c r="K568" s="1142">
        <f t="shared" ref="K568:K569" ca="1" si="249">IF(I568&gt;0,J568*100/I568,0)</f>
        <v>38.75812107537989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IFERROR(__xludf.DUMMYFUNCTION("IMPORTRANGE(""https://docs.google.com/spreadsheets/d/1QqKyyYR6Q21VydFLVH3TRQUabQu_ym0Zz7PgGX0-kHA/edit?usp=sharing"",""แผน!HG33"")"),7333)</f>
        <v>7333</v>
      </c>
      <c r="J569" s="999">
        <f t="shared" si="248"/>
        <v>3103</v>
      </c>
      <c r="K569" s="1142">
        <f t="shared" ca="1" si="249"/>
        <v>42.315559798172643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25067.43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2780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1385.78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127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2062.69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196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IFERROR(__xludf.DUMMYFUNCTION("IMPORTRANGE(""https://docs.google.com/spreadsheets/d/1QqKyyYR6Q21VydFLVH3TRQUabQu_ym0Zz7PgGX0-kHA/edit?usp=sharing"",""แผน!HH33"")"),73574)</f>
        <v>73574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IFERROR(__xludf.DUMMYFUNCTION("IMPORTRANGE(""https://docs.google.com/spreadsheets/d/1QqKyyYR6Q21VydFLVH3TRQUabQu_ym0Zz7PgGX0-kHA/edit?usp=sharing"",""แผน!HG33"")"),7333)</f>
        <v>7333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1346.1</v>
      </c>
      <c r="J592" s="1350">
        <f t="shared" si="253"/>
        <v>359</v>
      </c>
      <c r="K592" s="1351">
        <f t="shared" ref="K592:K594" ca="1" si="254">IF(I592&gt;0,J592*100/I592,0)</f>
        <v>26.669638214099994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IFERROR(__xludf.DUMMYFUNCTION("IMPORTRANGE(""https://docs.google.com/spreadsheets/d/1QqKyyYR6Q21VydFLVH3TRQUabQu_ym0Zz7PgGX0-kHA/edit?usp=sharing"",""แผน!HJ33"")"),1346.1)</f>
        <v>1346.1</v>
      </c>
      <c r="J593" s="998">
        <f t="shared" ref="J593:J594" si="255">J595+J603+J609</f>
        <v>359</v>
      </c>
      <c r="K593" s="1142">
        <f t="shared" ca="1" si="254"/>
        <v>26.669638214099994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IFERROR(__xludf.DUMMYFUNCTION("IMPORTRANGE(""https://docs.google.com/spreadsheets/d/1QqKyyYR6Q21VydFLVH3TRQUabQu_ym0Zz7PgGX0-kHA/edit?usp=sharing"",""แผน!HI33"")"),146)</f>
        <v>146</v>
      </c>
      <c r="J594" s="998">
        <f t="shared" si="255"/>
        <v>42</v>
      </c>
      <c r="K594" s="1142">
        <f t="shared" ca="1" si="254"/>
        <v>28.767123287671232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359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42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359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42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IFERROR(__xludf.DUMMYFUNCTION("IMPORTRANGE(""https://docs.google.com/spreadsheets/d/1QqKyyYR6Q21VydFLVH3TRQUabQu_ym0Zz7PgGX0-kHA/edit?usp=sharing"",""แผน!HL33"")"),71)</f>
        <v>71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IFERROR(__xludf.DUMMYFUNCTION("IMPORTRANGE(""https://docs.google.com/spreadsheets/d/1QqKyyYR6Q21VydFLVH3TRQUabQu_ym0Zz7PgGX0-kHA/edit?usp=sharing"",""แผน!HK33"")"),3)</f>
        <v>3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50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237485</v>
      </c>
      <c r="M629" s="1000">
        <f t="shared" si="263"/>
        <v>0</v>
      </c>
      <c r="N629" s="1000">
        <f t="shared" si="263"/>
        <v>0</v>
      </c>
      <c r="O629" s="1000">
        <f t="shared" ref="O629:O634" ca="1" si="264">IF(L629&gt;0,N629*100/L629,0)</f>
        <v>0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237485</v>
      </c>
      <c r="M631" s="870">
        <f t="shared" si="266"/>
        <v>0</v>
      </c>
      <c r="N631" s="870">
        <f t="shared" si="266"/>
        <v>0</v>
      </c>
      <c r="O631" s="870">
        <f t="shared" ca="1" si="264"/>
        <v>0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237485</v>
      </c>
      <c r="M632" s="864">
        <f t="shared" si="267"/>
        <v>0</v>
      </c>
      <c r="N632" s="864">
        <f t="shared" si="267"/>
        <v>0</v>
      </c>
      <c r="O632" s="864">
        <f t="shared" ca="1" si="264"/>
        <v>0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IFERROR(__xludf.DUMMYFUNCTION("IMPORTRANGE(""https://docs.google.com/spreadsheets/d/1QqKyyYR6Q21VydFLVH3TRQUabQu_ym0Zz7PgGX0-kHA/edit?usp=sharing"",""แผน!HN33"")"),237485)</f>
        <v>237485</v>
      </c>
      <c r="M634" s="870">
        <v>0</v>
      </c>
      <c r="N634" s="870">
        <f>N635+N636+N637+N638</f>
        <v>0</v>
      </c>
      <c r="O634" s="870">
        <f t="shared" ca="1" si="264"/>
        <v>0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IFERROR(__xludf.DUMMYFUNCTION("IMPORTRANGE(""https://docs.google.com/spreadsheets/d/1QqKyyYR6Q21VydFLVH3TRQUabQu_ym0Zz7PgGX0-kHA/edit?usp=sharing"",""แผน!HQ33"")"),0)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IFERROR(__xludf.DUMMYFUNCTION("IMPORTRANGE(""https://docs.google.com/spreadsheets/d/1QqKyyYR6Q21VydFLVH3TRQUabQu_ym0Zz7PgGX0-kHA/edit?usp=sharing"",""แผน!HR33"")"),0)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IFERROR(__xludf.DUMMYFUNCTION("IMPORTRANGE(""https://docs.google.com/spreadsheets/d/1QqKyyYR6Q21VydFLVH3TRQUabQu_ym0Zz7PgGX0-kHA/edit?usp=sharing"",""แผน!HR33"")"),0)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IFERROR(__xludf.DUMMYFUNCTION("IMPORTRANGE(""https://docs.google.com/spreadsheets/d/1XWAQStnk-4SwqDmLtmXYiTMKHgktTP8We1SCoS47DrQ/edit?usp=sharing"",""จัดที่ดิน!AS33"")"),0)</f>
        <v>0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IFERROR(__xludf.DUMMYFUNCTION("IMPORTRANGE(""https://docs.google.com/spreadsheets/d/1XWAQStnk-4SwqDmLtmXYiTMKHgktTP8We1SCoS47DrQ/edit?usp=sharing"",""จัดที่ดิน!AT33"")"),0)</f>
        <v>0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IFERROR(__xludf.DUMMYFUNCTION("IMPORTRANGE(""https://docs.google.com/spreadsheets/d/1QqKyyYR6Q21VydFLVH3TRQUabQu_ym0Zz7PgGX0-kHA/edit?usp=sharing"",""แผน!HS33"")"),50)</f>
        <v>50</v>
      </c>
      <c r="J647" s="863">
        <f ca="1">IFERROR(__xludf.DUMMYFUNCTION("IMPORTRANGE(""https://docs.google.com/spreadsheets/d/1XWAQStnk-4SwqDmLtmXYiTMKHgktTP8We1SCoS47DrQ/edit?usp=sharing"",""จัดที่ดิน!AU33"")"),0)</f>
        <v>0</v>
      </c>
      <c r="K647" s="978">
        <f t="shared" ca="1" si="271"/>
        <v>0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IFERROR(__xludf.DUMMYFUNCTION("IMPORTRANGE(""https://docs.google.com/spreadsheets/d/1XWAQStnk-4SwqDmLtmXYiTMKHgktTP8We1SCoS47DrQ/edit?usp=sharing"",""จัดที่ดิน!AV33"")"),0)</f>
        <v>0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IFERROR(__xludf.DUMMYFUNCTION("IMPORTRANGE(""https://docs.google.com/spreadsheets/d/1QqKyyYR6Q21VydFLVH3TRQUabQu_ym0Zz7PgGX0-kHA/edit?usp=sharing"",""แผน!HS33"")"),50)</f>
        <v>50</v>
      </c>
      <c r="J649" s="863">
        <f ca="1">IFERROR(__xludf.DUMMYFUNCTION("IMPORTRANGE(""https://docs.google.com/spreadsheets/d/1XWAQStnk-4SwqDmLtmXYiTMKHgktTP8We1SCoS47DrQ/edit?usp=sharing"",""จัดที่ดิน!AW33"")"),0)</f>
        <v>0</v>
      </c>
      <c r="K649" s="978">
        <f t="shared" ca="1" si="271"/>
        <v>0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IFERROR(__xludf.DUMMYFUNCTION("IMPORTRANGE(""https://docs.google.com/spreadsheets/d/1XWAQStnk-4SwqDmLtmXYiTMKHgktTP8We1SCoS47DrQ/edit?usp=sharing"",""จัดที่ดิน!AX33"")"),0)</f>
        <v>0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IFERROR(__xludf.DUMMYFUNCTION("IMPORTRANGE(""https://docs.google.com/spreadsheets/d/1QqKyyYR6Q21VydFLVH3TRQUabQu_ym0Zz7PgGX0-kHA/edit?usp=sharing"",""แผน!HS33"")"),50)</f>
        <v>50</v>
      </c>
      <c r="J651" s="863">
        <f ca="1">IFERROR(__xludf.DUMMYFUNCTION("IMPORTRANGE(""https://docs.google.com/spreadsheets/d/1XWAQStnk-4SwqDmLtmXYiTMKHgktTP8We1SCoS47DrQ/edit?usp=sharing"",""จัดที่ดิน!AY33"")"),0)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IFERROR(__xludf.DUMMYFUNCTION("IMPORTRANGE(""https://docs.google.com/spreadsheets/d/1XWAQStnk-4SwqDmLtmXYiTMKHgktTP8We1SCoS47DrQ/edit?usp=sharing"",""จัดที่ดิน!AZ33"")"),0)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IFERROR(__xludf.DUMMYFUNCTION("IMPORTRANGE(""https://docs.google.com/spreadsheets/d/1QqKyyYR6Q21VydFLVH3TRQUabQu_ym0Zz7PgGX0-kHA/edit?usp=sharing"",""แผน!HV33"")"),0)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IFERROR(__xludf.DUMMYFUNCTION("IMPORTRANGE(""https://docs.google.com/spreadsheets/d/1QqKyyYR6Q21VydFLVH3TRQUabQu_ym0Zz7PgGX0-kHA/edit?usp=sharing"",""แผน!IA33"")"),0)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IFERROR(__xludf.DUMMYFUNCTION("IMPORTRANGE(""https://docs.google.com/spreadsheets/d/1QqKyyYR6Q21VydFLVH3TRQUabQu_ym0Zz7PgGX0-kHA/edit?usp=sharing"",""แผน!HZ33"")"),0)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IFERROR(__xludf.DUMMYFUNCTION("IMPORTRANGE(""https://docs.google.com/spreadsheets/d/1QqKyyYR6Q21VydFLVH3TRQUabQu_ym0Zz7PgGX0-kHA/edit?usp=sharing"",""แผน!HZ33"")"),0)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IFERROR(__xludf.DUMMYFUNCTION("IMPORTRANGE(""https://docs.google.com/spreadsheets/d/1QqKyyYR6Q21VydFLVH3TRQUabQu_ym0Zz7PgGX0-kHA/edit?usp=sharing"",""แผน!IB33"")"),0)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1920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1920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1920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IFERROR(__xludf.DUMMYFUNCTION("IMPORTRANGE(""https://docs.google.com/spreadsheets/d/1QqKyyYR6Q21VydFLVH3TRQUabQu_ym0Zz7PgGX0-kHA/edit?usp=sharing"",""แผน!HW33"")"),1920)</f>
        <v>1920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IFERROR(__xludf.DUMMYFUNCTION("IMPORTRANGE(""https://docs.google.com/spreadsheets/d/1QqKyyYR6Q21VydFLVH3TRQUabQu_ym0Zz7PgGX0-kHA/edit?usp=sharing"",""แผน!IC33"")"),0)</f>
        <v>0</v>
      </c>
      <c r="J699" s="863">
        <f ca="1">IFERROR(__xludf.DUMMYFUNCTION("IMPORTRANGE(""https://docs.google.com/spreadsheets/d/1XWAQStnk-4SwqDmLtmXYiTMKHgktTP8We1SCoS47DrQ/edit?usp=sharing"",""จัดที่ดิน!BB33"")"),0)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IFERROR(__xludf.DUMMYFUNCTION("IMPORTRANGE(""https://docs.google.com/spreadsheets/d/1QqKyyYR6Q21VydFLVH3TRQUabQu_ym0Zz7PgGX0-kHA/edit?usp=sharing"",""แผน!ID33"")"),0)</f>
        <v>0</v>
      </c>
      <c r="J700" s="863">
        <f ca="1">IFERROR(__xludf.DUMMYFUNCTION("IMPORTRANGE(""https://docs.google.com/spreadsheets/d/1XWAQStnk-4SwqDmLtmXYiTMKHgktTP8We1SCoS47DrQ/edit?usp=sharing"",""จัดที่ดิน!BD33"")"),0)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IFERROR(__xludf.DUMMYFUNCTION("IMPORTRANGE(""https://docs.google.com/spreadsheets/d/1QqKyyYR6Q21VydFLVH3TRQUabQu_ym0Zz7PgGX0-kHA/edit?usp=sharing"",""แผน!IE33"")"),10)</f>
        <v>10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IFERROR(__xludf.DUMMYFUNCTION("IMPORTRANGE(""https://docs.google.com/spreadsheets/d/1QqKyyYR6Q21VydFLVH3TRQUabQu_ym0Zz7PgGX0-kHA/edit?usp=sharing"",""แผน!IF33"")"),10)</f>
        <v>10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IFERROR(__xludf.DUMMYFUNCTION("IMPORTRANGE(""https://docs.google.com/spreadsheets/d/1QqKyyYR6Q21VydFLVH3TRQUabQu_ym0Zz7PgGX0-kHA/edit?usp=sharing"",""แผน!IG33"")"),0)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IFERROR(__xludf.DUMMYFUNCTION("IMPORTRANGE(""https://docs.google.com/spreadsheets/d/1QqKyyYR6Q21VydFLVH3TRQUabQu_ym0Zz7PgGX0-kHA/edit?usp=sharing"",""แผน!IH33"")"),0)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IFERROR(__xludf.DUMMYFUNCTION("IMPORTRANGE(""https://docs.google.com/spreadsheets/d/1XWAQStnk-4SwqDmLtmXYiTMKHgktTP8We1SCoS47DrQ/edit?usp=sharing"",""จัดที่ดิน!BF33"")"),0)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IFERROR(__xludf.DUMMYFUNCTION("IMPORTRANGE(""https://docs.google.com/spreadsheets/d/1XWAQStnk-4SwqDmLtmXYiTMKHgktTP8We1SCoS47DrQ/edit?usp=sharing"",""จัดที่ดิน!BG33"")"),0)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IFERROR(__xludf.DUMMYFUNCTION("IMPORTRANGE(""https://docs.google.com/spreadsheets/d/1QqKyyYR6Q21VydFLVH3TRQUabQu_ym0Zz7PgGX0-kHA/edit?usp=sharing"",""แผน!II33"")"),0)</f>
        <v>0</v>
      </c>
      <c r="J720" s="863">
        <f ca="1">IFERROR(__xludf.DUMMYFUNCTION("IMPORTRANGE(""https://docs.google.com/spreadsheets/d/1XWAQStnk-4SwqDmLtmXYiTMKHgktTP8We1SCoS47DrQ/edit?usp=sharing"",""จัดที่ดิน!BH33"")"),0)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IFERROR(__xludf.DUMMYFUNCTION("IMPORTRANGE(""https://docs.google.com/spreadsheets/d/1QqKyyYR6Q21VydFLVH3TRQUabQu_ym0Zz7PgGX0-kHA/edit?usp=sharing"",""แผน!IJ33"")"),6)</f>
        <v>6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IFERROR(__xludf.DUMMYFUNCTION("IMPORTRANGE(""https://docs.google.com/spreadsheets/d/1QqKyyYR6Q21VydFLVH3TRQUabQu_ym0Zz7PgGX0-kHA/edit?usp=sharing"",""แผน!IK33"")"),62)</f>
        <v>62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IFERROR(__xludf.DUMMYFUNCTION("IMPORTRANGE(""https://docs.google.com/spreadsheets/d/1QqKyyYR6Q21VydFLVH3TRQUabQu_ym0Zz7PgGX0-kHA/edit?usp=sharing"",""แผน!IL33"")"),6)</f>
        <v>6</v>
      </c>
      <c r="J723" s="863">
        <f ca="1">IFERROR(__xludf.DUMMYFUNCTION("IMPORTRANGE(""https://docs.google.com/spreadsheets/d/1XWAQStnk-4SwqDmLtmXYiTMKHgktTP8We1SCoS47DrQ/edit?usp=sharing"",""จัดที่ดิน!BM33"")"),0)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IFERROR(__xludf.DUMMYFUNCTION("IMPORTRANGE(""https://docs.google.com/spreadsheets/d/1XWAQStnk-4SwqDmLtmXYiTMKHgktTP8We1SCoS47DrQ/edit?usp=sharing"",""จัดที่ดิน!BN33"")"),0)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IFERROR(__xludf.DUMMYFUNCTION("IMPORTRANGE(""https://docs.google.com/spreadsheets/d/1QqKyyYR6Q21VydFLVH3TRQUabQu_ym0Zz7PgGX0-kHA/edit?usp=sharing"",""แผน!IM33"")"),62)</f>
        <v>62</v>
      </c>
      <c r="J725" s="863">
        <f ca="1">IFERROR(__xludf.DUMMYFUNCTION("IMPORTRANGE(""https://docs.google.com/spreadsheets/d/1XWAQStnk-4SwqDmLtmXYiTMKHgktTP8We1SCoS47DrQ/edit?usp=sharing"",""จัดที่ดิน!BO33"")"),0)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IFERROR(__xludf.DUMMYFUNCTION("IMPORTRANGE(""https://docs.google.com/spreadsheets/d/1QqKyyYR6Q21VydFLVH3TRQUabQu_ym0Zz7PgGX0-kHA/edit?usp=sharing"",""แผน!IN33"")"),0)</f>
        <v>0</v>
      </c>
      <c r="J726" s="863">
        <f ca="1">IFERROR(__xludf.DUMMYFUNCTION("IMPORTRANGE(""https://docs.google.com/spreadsheets/d/1XWAQStnk-4SwqDmLtmXYiTMKHgktTP8We1SCoS47DrQ/edit?usp=sharing"",""จัดที่ดิน!BR33"")"),0)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IFERROR(__xludf.DUMMYFUNCTION("IMPORTRANGE(""https://docs.google.com/spreadsheets/d/1XWAQStnk-4SwqDmLtmXYiTMKHgktTP8We1SCoS47DrQ/edit?usp=sharing"",""จัดที่ดิน!BS33"")"),0)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IFERROR(__xludf.DUMMYFUNCTION("IMPORTRANGE(""https://docs.google.com/spreadsheets/d/1QqKyyYR6Q21VydFLVH3TRQUabQu_ym0Zz7PgGX0-kHA/edit?usp=sharing"",""แผน!IO33"")"),0)</f>
        <v>0</v>
      </c>
      <c r="J728" s="863">
        <f ca="1">IFERROR(__xludf.DUMMYFUNCTION("IMPORTRANGE(""https://docs.google.com/spreadsheets/d/1XWAQStnk-4SwqDmLtmXYiTMKHgktTP8We1SCoS47DrQ/edit?usp=sharing"",""จัดที่ดิน!BT33"")"),0)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IFERROR(__xludf.DUMMYFUNCTION("IMPORTRANGE(""https://docs.google.com/spreadsheets/d/1QqKyyYR6Q21VydFLVH3TRQUabQu_ym0Zz7PgGX0-kHA/edit?usp=sharing"",""แผน!IP33"")"),0)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IFERROR(__xludf.DUMMYFUNCTION("IMPORTRANGE(""https://docs.google.com/spreadsheets/d/1QqKyyYR6Q21VydFLVH3TRQUabQu_ym0Zz7PgGX0-kHA/edit?usp=sharing"",""แผน!JJ33"")"),0)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IFERROR(__xludf.DUMMYFUNCTION("IMPORTRANGE(""https://docs.google.com/spreadsheets/d/1QqKyyYR6Q21VydFLVH3TRQUabQu_ym0Zz7PgGX0-kHA/edit?usp=sharing"",""แผน!JN33"")"),0)</f>
        <v>0</v>
      </c>
      <c r="J800" s="977">
        <f ca="1">IFERROR(__xludf.DUMMYFUNCTION("IMPORTRANGE(""https://docs.google.com/spreadsheets/d/1MaWodYyGHDf7siQLGxnXhG4mBNTNIuy296niS2xXulU/edit?usp=sharing"",""RTK!H33"")"),0)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IFERROR(__xludf.DUMMYFUNCTION("IMPORTRANGE(""https://docs.google.com/spreadsheets/d/1MaWodYyGHDf7siQLGxnXhG4mBNTNIuy296niS2xXulU/edit?usp=sharing"",""RTK!I33"")"),0)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863">
        <f ca="1">IFERROR(__xludf.DUMMYFUNCTION("IMPORTRANGE(""https://docs.google.com/spreadsheets/d/19vJNZY_5yjcGF2XGBMNZRCAIB0Kwfpjp8YEOfu-bneM/edit?usp=sharing"",""งานกองทุน!F33"")"),1641262.94)</f>
        <v>1641262.94</v>
      </c>
      <c r="K821" s="864">
        <f t="shared" ref="K821:K828" ca="1" si="335">IF(I821&gt;0,J821*100/I821,0)</f>
        <v>37.321444842735559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IFERROR(__xludf.DUMMYFUNCTION("IMPORTRANGE(""https://docs.google.com/spreadsheets/d/19vJNZY_5yjcGF2XGBMNZRCAIB0Kwfpjp8YEOfu-bneM/edit?usp=sharing"",""งานกองทุน!C33"")"),275)</f>
        <v>275</v>
      </c>
      <c r="J822" s="863">
        <f ca="1">IFERROR(__xludf.DUMMYFUNCTION("IMPORTRANGE(""https://docs.google.com/spreadsheets/d/19vJNZY_5yjcGF2XGBMNZRCAIB0Kwfpjp8YEOfu-bneM/edit?usp=sharing"",""งานกองทุน!E33"")"),102)</f>
        <v>102</v>
      </c>
      <c r="K822" s="864">
        <f t="shared" ca="1" si="335"/>
        <v>37.090909090909093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863">
        <f ca="1">IFERROR(__xludf.DUMMYFUNCTION("IMPORTRANGE(""https://docs.google.com/spreadsheets/d/19vJNZY_5yjcGF2XGBMNZRCAIB0Kwfpjp8YEOfu-bneM/edit?usp=sharing"",""งานกองทุน!K33"")"),867255.35)</f>
        <v>867255.35</v>
      </c>
      <c r="K823" s="864">
        <f t="shared" ca="1" si="335"/>
        <v>6.3330795183138431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IFERROR(__xludf.DUMMYFUNCTION("IMPORTRANGE(""https://docs.google.com/spreadsheets/d/19vJNZY_5yjcGF2XGBMNZRCAIB0Kwfpjp8YEOfu-bneM/edit?usp=sharing"",""งานกองทุน!H33"")"),529)</f>
        <v>529</v>
      </c>
      <c r="J824" s="863">
        <f ca="1">IFERROR(__xludf.DUMMYFUNCTION("IMPORTRANGE(""https://docs.google.com/spreadsheets/d/19vJNZY_5yjcGF2XGBMNZRCAIB0Kwfpjp8YEOfu-bneM/edit?usp=sharing"",""งานกองทุน!J33"")"),83)</f>
        <v>83</v>
      </c>
      <c r="K824" s="864">
        <f t="shared" ca="1" si="335"/>
        <v>15.689981096408317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863">
        <f ca="1">IFERROR(__xludf.DUMMYFUNCTION("IMPORTRANGE(""https://docs.google.com/spreadsheets/d/19vJNZY_5yjcGF2XGBMNZRCAIB0Kwfpjp8YEOfu-bneM/edit?usp=sharing"",""งานกองทุน!P33"")"),106894.41)</f>
        <v>106894.41</v>
      </c>
      <c r="K825" s="864">
        <f t="shared" ca="1" si="335"/>
        <v>26.133142439773039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IFERROR(__xludf.DUMMYFUNCTION("IMPORTRANGE(""https://docs.google.com/spreadsheets/d/19vJNZY_5yjcGF2XGBMNZRCAIB0Kwfpjp8YEOfu-bneM/edit?usp=sharing"",""งานกองทุน!M33"")"),59)</f>
        <v>59</v>
      </c>
      <c r="J826" s="863">
        <f ca="1">IFERROR(__xludf.DUMMYFUNCTION("IMPORTRANGE(""https://docs.google.com/spreadsheets/d/19vJNZY_5yjcGF2XGBMNZRCAIB0Kwfpjp8YEOfu-bneM/edit?usp=sharing"",""งานกองทุน!O33"")"),46)</f>
        <v>46</v>
      </c>
      <c r="K826" s="864">
        <f t="shared" ca="1" si="335"/>
        <v>77.966101694915253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IFERROR(__xludf.DUMMYFUNCTION("IMPORTRANGE(""https://docs.google.com/spreadsheets/d/19vJNZY_5yjcGF2XGBMNZRCAIB0Kwfpjp8YEOfu-bneM/edit?usp=sharing"",""งานกองทุน!S33"")"),5080000)</f>
        <v>5080000</v>
      </c>
      <c r="J827" s="863">
        <f ca="1">IFERROR(__xludf.DUMMYFUNCTION("IMPORTRANGE(""https://docs.google.com/spreadsheets/d/19vJNZY_5yjcGF2XGBMNZRCAIB0Kwfpjp8YEOfu-bneM/edit?usp=sharing"",""งานกองทุน!U33"")"),2900000)</f>
        <v>2900000</v>
      </c>
      <c r="K827" s="864">
        <f t="shared" ca="1" si="335"/>
        <v>57.086614173228348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IFERROR(__xludf.DUMMYFUNCTION("IMPORTRANGE(""https://docs.google.com/spreadsheets/d/19vJNZY_5yjcGF2XGBMNZRCAIB0Kwfpjp8YEOfu-bneM/edit?usp=sharing"",""งานกองทุน!R33"")"),203)</f>
        <v>203</v>
      </c>
      <c r="J828" s="1117">
        <f ca="1">IFERROR(__xludf.DUMMYFUNCTION("IMPORTRANGE(""https://docs.google.com/spreadsheets/d/19vJNZY_5yjcGF2XGBMNZRCAIB0Kwfpjp8YEOfu-bneM/edit?usp=sharing"",""งานกองทุน!T33"")"),58)</f>
        <v>58</v>
      </c>
      <c r="K828" s="1215">
        <f t="shared" ca="1" si="335"/>
        <v>28.571428571428573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4409-9707-4A61-B5AD-F3C12E382492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338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7211936</v>
      </c>
      <c r="M8" s="850">
        <f t="shared" ca="1" si="0"/>
        <v>3959022</v>
      </c>
      <c r="N8" s="850">
        <f t="shared" ca="1" si="0"/>
        <v>2906033.3200000003</v>
      </c>
      <c r="O8" s="850">
        <f t="shared" ref="O8:O16" ca="1" si="1">IF(L8&gt;0,N8*100/L8,0)</f>
        <v>40.29477410781238</v>
      </c>
      <c r="P8" s="850">
        <f t="shared" ref="P8:P16" ca="1" si="2">IF(M8&gt;0,N8*100/M8,0)</f>
        <v>73.402808067244891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7211936</v>
      </c>
      <c r="M10" s="857">
        <f t="shared" ca="1" si="3"/>
        <v>3959022</v>
      </c>
      <c r="N10" s="857">
        <f t="shared" ca="1" si="3"/>
        <v>2906033.3200000003</v>
      </c>
      <c r="O10" s="857">
        <f t="shared" ca="1" si="1"/>
        <v>40.29477410781238</v>
      </c>
      <c r="P10" s="857">
        <f t="shared" ca="1" si="2"/>
        <v>73.402808067244891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7060336</v>
      </c>
      <c r="M11" s="864">
        <f t="shared" ca="1" si="4"/>
        <v>3807422</v>
      </c>
      <c r="N11" s="864">
        <f t="shared" ca="1" si="4"/>
        <v>2754433.3200000003</v>
      </c>
      <c r="O11" s="864">
        <f t="shared" ca="1" si="1"/>
        <v>39.012779561765896</v>
      </c>
      <c r="P11" s="864">
        <f t="shared" ca="1" si="2"/>
        <v>72.343788526724907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7060336</v>
      </c>
      <c r="M13" s="870">
        <f t="shared" ca="1" si="5"/>
        <v>3807422</v>
      </c>
      <c r="N13" s="870">
        <f t="shared" ca="1" si="5"/>
        <v>2754433.3200000003</v>
      </c>
      <c r="O13" s="870">
        <f t="shared" ca="1" si="1"/>
        <v>39.012779561765896</v>
      </c>
      <c r="P13" s="870">
        <f t="shared" ca="1" si="2"/>
        <v>72.343788526724907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151600</v>
      </c>
      <c r="M14" s="864">
        <f t="shared" ca="1" si="6"/>
        <v>151600</v>
      </c>
      <c r="N14" s="864">
        <f t="shared" ca="1" si="6"/>
        <v>151600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151600</v>
      </c>
      <c r="M16" s="876">
        <f t="shared" ca="1" si="7"/>
        <v>151600</v>
      </c>
      <c r="N16" s="876">
        <f t="shared" ca="1" si="7"/>
        <v>151600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4817772</v>
      </c>
      <c r="M18" s="850">
        <f t="shared" ca="1" si="8"/>
        <v>3959022</v>
      </c>
      <c r="N18" s="850">
        <f t="shared" ca="1" si="8"/>
        <v>2134745.3200000003</v>
      </c>
      <c r="O18" s="850">
        <f t="shared" ref="O18:O26" ca="1" si="9">IF(L18&gt;0,N18*100/L18,0)</f>
        <v>44.309803784820041</v>
      </c>
      <c r="P18" s="850">
        <f t="shared" ref="P18:P26" ca="1" si="10">IF(M18&gt;0,N18*100/M18,0)</f>
        <v>53.921026960698889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4817772</v>
      </c>
      <c r="M20" s="857">
        <f t="shared" ca="1" si="11"/>
        <v>3959022</v>
      </c>
      <c r="N20" s="857">
        <f t="shared" ca="1" si="11"/>
        <v>2134745.3200000003</v>
      </c>
      <c r="O20" s="857">
        <f t="shared" ca="1" si="9"/>
        <v>44.309803784820041</v>
      </c>
      <c r="P20" s="857">
        <f t="shared" ca="1" si="10"/>
        <v>53.921026960698889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4666172</v>
      </c>
      <c r="M21" s="864">
        <f t="shared" ca="1" si="12"/>
        <v>3807422</v>
      </c>
      <c r="N21" s="864">
        <f t="shared" ca="1" si="12"/>
        <v>1983145.32</v>
      </c>
      <c r="O21" s="864">
        <f t="shared" ca="1" si="9"/>
        <v>42.50047619333364</v>
      </c>
      <c r="P21" s="864">
        <f t="shared" ca="1" si="10"/>
        <v>52.086301964951616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4666172</v>
      </c>
      <c r="M23" s="870">
        <f t="shared" ca="1" si="13"/>
        <v>3807422</v>
      </c>
      <c r="N23" s="870">
        <f t="shared" ca="1" si="13"/>
        <v>1983145.32</v>
      </c>
      <c r="O23" s="870">
        <f t="shared" ca="1" si="9"/>
        <v>42.50047619333364</v>
      </c>
      <c r="P23" s="870">
        <f t="shared" ca="1" si="10"/>
        <v>52.086301964951616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151600</v>
      </c>
      <c r="M24" s="864">
        <f t="shared" ca="1" si="14"/>
        <v>151600</v>
      </c>
      <c r="N24" s="864">
        <f t="shared" ca="1" si="14"/>
        <v>151600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151600</v>
      </c>
      <c r="M26" s="876">
        <f t="shared" ca="1" si="15"/>
        <v>151600</v>
      </c>
      <c r="N26" s="876">
        <f t="shared" ca="1" si="15"/>
        <v>151600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2394164</v>
      </c>
      <c r="M28" s="850">
        <f t="shared" si="16"/>
        <v>0</v>
      </c>
      <c r="N28" s="850">
        <f t="shared" si="16"/>
        <v>771288</v>
      </c>
      <c r="O28" s="850">
        <f t="shared" ref="O28:O37" ca="1" si="17">IF(L28&gt;0,N28*100/L28,0)</f>
        <v>32.215336961043604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2394164</v>
      </c>
      <c r="M30" s="857">
        <f t="shared" si="19"/>
        <v>0</v>
      </c>
      <c r="N30" s="857">
        <f t="shared" si="19"/>
        <v>771288</v>
      </c>
      <c r="O30" s="857">
        <f t="shared" ca="1" si="17"/>
        <v>32.215336961043604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2394164</v>
      </c>
      <c r="M31" s="864">
        <f t="shared" si="20"/>
        <v>0</v>
      </c>
      <c r="N31" s="864">
        <f t="shared" si="20"/>
        <v>771288</v>
      </c>
      <c r="O31" s="864">
        <f t="shared" ca="1" si="17"/>
        <v>32.215336961043604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2394164</v>
      </c>
      <c r="M33" s="870">
        <f t="shared" si="21"/>
        <v>0</v>
      </c>
      <c r="N33" s="870">
        <f t="shared" si="21"/>
        <v>771288</v>
      </c>
      <c r="O33" s="870">
        <f t="shared" ca="1" si="17"/>
        <v>32.215336961043604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4817772</v>
      </c>
      <c r="M37" s="883">
        <f t="shared" ca="1" si="24"/>
        <v>3959022</v>
      </c>
      <c r="N37" s="883">
        <f t="shared" ca="1" si="24"/>
        <v>2134745.3200000003</v>
      </c>
      <c r="O37" s="883">
        <f t="shared" ca="1" si="17"/>
        <v>44.309803784820041</v>
      </c>
      <c r="P37" s="883">
        <f t="shared" ca="1" si="18"/>
        <v>53.921026960698889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882742</v>
      </c>
      <c r="M41" s="908">
        <f t="shared" ca="1" si="25"/>
        <v>890652</v>
      </c>
      <c r="N41" s="908">
        <f t="shared" ca="1" si="25"/>
        <v>442797.71</v>
      </c>
      <c r="O41" s="908">
        <f t="shared" ref="O41:O49" ca="1" si="26">IF(L41&gt;0,N41*100/L41,0)</f>
        <v>50.161622535236795</v>
      </c>
      <c r="P41" s="908">
        <f t="shared" ref="P41:P49" ca="1" si="27">IF(M41&gt;0,N41*100/M41,0)</f>
        <v>49.716130430291514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882742</v>
      </c>
      <c r="M43" s="914">
        <f t="shared" ca="1" si="28"/>
        <v>890652</v>
      </c>
      <c r="N43" s="914">
        <f t="shared" ca="1" si="28"/>
        <v>442797.71</v>
      </c>
      <c r="O43" s="914">
        <f t="shared" ca="1" si="26"/>
        <v>50.161622535236795</v>
      </c>
      <c r="P43" s="914">
        <f t="shared" ca="1" si="27"/>
        <v>49.716130430291514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882742</v>
      </c>
      <c r="M44" s="864">
        <f t="shared" ca="1" si="29"/>
        <v>890652</v>
      </c>
      <c r="N44" s="864">
        <f t="shared" ca="1" si="29"/>
        <v>442797.71</v>
      </c>
      <c r="O44" s="864">
        <f t="shared" ca="1" si="26"/>
        <v>50.161622535236795</v>
      </c>
      <c r="P44" s="864">
        <f t="shared" ca="1" si="27"/>
        <v>49.716130430291514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IFERROR(__xludf.DUMMYFUNCTION("IMPORTRANGE(""https://docs.google.com/spreadsheets/d/1MeEWN-I1oV_STSDYn1IFDPWt_1FKiwhDph83XaGc0o0/edit?usp=sharing"",""งบพรบ!M34"")"),882742)</f>
        <v>882742</v>
      </c>
      <c r="M46" s="870">
        <f ca="1">IFERROR(__xludf.DUMMYFUNCTION("IMPORTRANGE(""https://docs.google.com/spreadsheets/d/1MeEWN-I1oV_STSDYn1IFDPWt_1FKiwhDph83XaGc0o0/edit?usp=sharing"",""งบพรบ!R34"")"),890652)</f>
        <v>890652</v>
      </c>
      <c r="N46" s="870">
        <f ca="1">IFERROR(__xludf.DUMMYFUNCTION("IMPORTRANGE(""https://docs.google.com/spreadsheets/d/1MeEWN-I1oV_STSDYn1IFDPWt_1FKiwhDph83XaGc0o0/edit?usp=sharing"",""งบพรบ!T34"")"),442797.71)</f>
        <v>442797.71</v>
      </c>
      <c r="O46" s="870">
        <f t="shared" ca="1" si="26"/>
        <v>50.161622535236795</v>
      </c>
      <c r="P46" s="870">
        <f t="shared" ca="1" si="27"/>
        <v>49.716130430291514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IFERROR(__xludf.DUMMYFUNCTION("IMPORTRANGE(""https://docs.google.com/spreadsheets/d/1MeEWN-I1oV_STSDYn1IFDPWt_1FKiwhDph83XaGc0o0/edit?usp=sharing"",""งบพรบ!P34"")"),0)</f>
        <v>0</v>
      </c>
      <c r="M49" s="876">
        <f ca="1">IFERROR(__xludf.DUMMYFUNCTION("IMPORTRANGE(""https://docs.google.com/spreadsheets/d/1MeEWN-I1oV_STSDYn1IFDPWt_1FKiwhDph83XaGc0o0/edit?usp=sharing"",""งบพรบ!S34"")"),0)</f>
        <v>0</v>
      </c>
      <c r="N49" s="876">
        <f ca="1">IFERROR(__xludf.DUMMYFUNCTION("IMPORTRANGE(""https://docs.google.com/spreadsheets/d/1MeEWN-I1oV_STSDYn1IFDPWt_1FKiwhDph83XaGc0o0/edit?usp=sharing"",""งบพรบ!U34"")"),0)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991600</v>
      </c>
      <c r="M53" s="936">
        <f t="shared" ca="1" si="31"/>
        <v>743700</v>
      </c>
      <c r="N53" s="936">
        <f t="shared" ca="1" si="31"/>
        <v>445208.41</v>
      </c>
      <c r="O53" s="936">
        <f t="shared" ref="O53:O61" ca="1" si="32">IF(L53&gt;0,N53*100/L53,0)</f>
        <v>44.897984066155708</v>
      </c>
      <c r="P53" s="936">
        <f t="shared" ref="P53:P61" ca="1" si="33">IF(M53&gt;0,N53*100/M53,0)</f>
        <v>59.863978754874275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991600</v>
      </c>
      <c r="M55" s="942">
        <f t="shared" ca="1" si="34"/>
        <v>743700</v>
      </c>
      <c r="N55" s="942">
        <f t="shared" ca="1" si="34"/>
        <v>445208.41</v>
      </c>
      <c r="O55" s="942">
        <f t="shared" ca="1" si="32"/>
        <v>44.897984066155708</v>
      </c>
      <c r="P55" s="942">
        <f t="shared" ca="1" si="33"/>
        <v>59.863978754874275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991600</v>
      </c>
      <c r="M56" s="864">
        <f t="shared" ca="1" si="35"/>
        <v>743700</v>
      </c>
      <c r="N56" s="864">
        <f t="shared" ca="1" si="35"/>
        <v>445208.41</v>
      </c>
      <c r="O56" s="864">
        <f t="shared" ca="1" si="32"/>
        <v>44.897984066155708</v>
      </c>
      <c r="P56" s="864">
        <f t="shared" ca="1" si="33"/>
        <v>59.863978754874275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IFERROR(__xludf.DUMMYFUNCTION("IMPORTRANGE(""https://docs.google.com/spreadsheets/d/1MeEWN-I1oV_STSDYn1IFDPWt_1FKiwhDph83XaGc0o0/edit?usp=sharing"",""งบพรบ!W34"")"),991600)</f>
        <v>991600</v>
      </c>
      <c r="M58" s="870">
        <f ca="1">IFERROR(__xludf.DUMMYFUNCTION("IMPORTRANGE(""https://docs.google.com/spreadsheets/d/1MeEWN-I1oV_STSDYn1IFDPWt_1FKiwhDph83XaGc0o0/edit?usp=sharing"",""งบพรบ!AB34"")"),743700)</f>
        <v>743700</v>
      </c>
      <c r="N58" s="870">
        <f ca="1">IFERROR(__xludf.DUMMYFUNCTION("IMPORTRANGE(""https://docs.google.com/spreadsheets/d/1MeEWN-I1oV_STSDYn1IFDPWt_1FKiwhDph83XaGc0o0/edit?usp=sharing"",""งบพรบ!AD34"")"),445208.41)</f>
        <v>445208.41</v>
      </c>
      <c r="O58" s="870">
        <f t="shared" ca="1" si="32"/>
        <v>44.897984066155708</v>
      </c>
      <c r="P58" s="870">
        <f t="shared" ca="1" si="33"/>
        <v>59.863978754874275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IFERROR(__xludf.DUMMYFUNCTION("IMPORTRANGE(""https://docs.google.com/spreadsheets/d/1MeEWN-I1oV_STSDYn1IFDPWt_1FKiwhDph83XaGc0o0/edit?usp=sharing"",""งบพรบ!Z34"")"),0)</f>
        <v>0</v>
      </c>
      <c r="M61" s="876">
        <f ca="1">IFERROR(__xludf.DUMMYFUNCTION("IMPORTRANGE(""https://docs.google.com/spreadsheets/d/1MeEWN-I1oV_STSDYn1IFDPWt_1FKiwhDph83XaGc0o0/edit?usp=sharing"",""งบพรบ!AC34"")"),0)</f>
        <v>0</v>
      </c>
      <c r="N61" s="876">
        <f ca="1">IFERROR(__xludf.DUMMYFUNCTION("IMPORTRANGE(""https://docs.google.com/spreadsheets/d/1MeEWN-I1oV_STSDYn1IFDPWt_1FKiwhDph83XaGc0o0/edit?usp=sharing"",""งบพรบ!AE34"")"),0)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IFERROR(__xludf.DUMMYFUNCTION("IMPORTRANGE(""https://docs.google.com/spreadsheets/d/1MeEWN-I1oV_STSDYn1IFDPWt_1FKiwhDph83XaGc0o0/edit?usp=sharing"",""งบพรบ!AG34"")"),0)</f>
        <v>0</v>
      </c>
      <c r="M71" s="870">
        <f ca="1">IFERROR(__xludf.DUMMYFUNCTION("IMPORTRANGE(""https://docs.google.com/spreadsheets/d/1MeEWN-I1oV_STSDYn1IFDPWt_1FKiwhDph83XaGc0o0/edit?usp=sharing"",""งบพรบ!AL34"")"),0)</f>
        <v>0</v>
      </c>
      <c r="N71" s="870">
        <f ca="1">IFERROR(__xludf.DUMMYFUNCTION("IMPORTRANGE(""https://docs.google.com/spreadsheets/d/1MeEWN-I1oV_STSDYn1IFDPWt_1FKiwhDph83XaGc0o0/edit?usp=sharing"",""งบพรบ!AN34"")"),0)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IFERROR(__xludf.DUMMYFUNCTION("IMPORTRANGE(""https://docs.google.com/spreadsheets/d/1MeEWN-I1oV_STSDYn1IFDPWt_1FKiwhDph83XaGc0o0/edit?usp=sharing"",""งบพรบ!AJ34"")"),0)</f>
        <v>0</v>
      </c>
      <c r="M74" s="870">
        <f ca="1">IFERROR(__xludf.DUMMYFUNCTION("IMPORTRANGE(""https://docs.google.com/spreadsheets/d/1MeEWN-I1oV_STSDYn1IFDPWt_1FKiwhDph83XaGc0o0/edit?usp=sharing"",""งบพรบ!AM34"")"),0)</f>
        <v>0</v>
      </c>
      <c r="N74" s="870">
        <f ca="1">IFERROR(__xludf.DUMMYFUNCTION("IMPORTRANGE(""https://docs.google.com/spreadsheets/d/1MeEWN-I1oV_STSDYn1IFDPWt_1FKiwhDph83XaGc0o0/edit?usp=sharing"",""งบพรบ!AO34"")"),0)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IFERROR(__xludf.DUMMYFUNCTION("IMPORTRANGE(""https://docs.google.com/spreadsheets/d/1QqKyyYR6Q21VydFLVH3TRQUabQu_ym0Zz7PgGX0-kHA/edit?usp=sharing"",""แผน!H34"")"),0)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IFERROR(__xludf.DUMMYFUNCTION("IMPORTRANGE(""https://docs.google.com/spreadsheets/d/1QqKyyYR6Q21VydFLVH3TRQUabQu_ym0Zz7PgGX0-kHA/edit?usp=sharing"",""แผน!I34"")"),0)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IFERROR(__xludf.DUMMYFUNCTION("IMPORTRANGE(""https://docs.google.com/spreadsheets/d/1QqKyyYR6Q21VydFLVH3TRQUabQu_ym0Zz7PgGX0-kHA/edit?usp=sharing"",""แผน!F34"")"),0)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IFERROR(__xludf.DUMMYFUNCTION("IMPORTRANGE(""https://docs.google.com/spreadsheets/d/1QqKyyYR6Q21VydFLVH3TRQUabQu_ym0Zz7PgGX0-kHA/edit?usp=sharing"",""แผน!G34"")"),0)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IFERROR(__xludf.DUMMYFUNCTION("IMPORTRANGE(""https://docs.google.com/spreadsheets/d/1QqKyyYR6Q21VydFLVH3TRQUabQu_ym0Zz7PgGX0-kHA/edit?usp=sharing"",""แผน!D34"")"),0)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IFERROR(__xludf.DUMMYFUNCTION("IMPORTRANGE(""https://docs.google.com/spreadsheets/d/1QqKyyYR6Q21VydFLVH3TRQUabQu_ym0Zz7PgGX0-kHA/edit?usp=sharing"",""แผน!E34"")"),0)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IFERROR(__xludf.DUMMYFUNCTION("IMPORTRANGE(""https://docs.google.com/spreadsheets/d/1QqKyyYR6Q21VydFLVH3TRQUabQu_ym0Zz7PgGX0-kHA/edit?usp=sharing"",""แผน!J34"")"),0)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31200</v>
      </c>
      <c r="M88" s="972">
        <f t="shared" ca="1" si="49"/>
        <v>29350</v>
      </c>
      <c r="N88" s="972">
        <f t="shared" ca="1" si="49"/>
        <v>19893</v>
      </c>
      <c r="O88" s="972">
        <f t="shared" ref="O88:O96" ca="1" si="50">IF(L88&gt;0,N88*100/L88,0)</f>
        <v>63.759615384615387</v>
      </c>
      <c r="P88" s="972">
        <f t="shared" ref="P88:P96" ca="1" si="51">IF(M88&gt;0,N88*100/M88,0)</f>
        <v>67.778534923339009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31200</v>
      </c>
      <c r="M90" s="870">
        <f t="shared" ca="1" si="52"/>
        <v>29350</v>
      </c>
      <c r="N90" s="870">
        <f t="shared" ca="1" si="52"/>
        <v>19893</v>
      </c>
      <c r="O90" s="870">
        <f t="shared" ca="1" si="50"/>
        <v>63.759615384615387</v>
      </c>
      <c r="P90" s="870">
        <f t="shared" ca="1" si="51"/>
        <v>67.778534923339009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31200</v>
      </c>
      <c r="M91" s="864">
        <f t="shared" ca="1" si="53"/>
        <v>29350</v>
      </c>
      <c r="N91" s="864">
        <f t="shared" ca="1" si="53"/>
        <v>19893</v>
      </c>
      <c r="O91" s="864">
        <f t="shared" ca="1" si="50"/>
        <v>63.759615384615387</v>
      </c>
      <c r="P91" s="864">
        <f t="shared" ca="1" si="51"/>
        <v>67.778534923339009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IFERROR(__xludf.DUMMYFUNCTION("IMPORTRANGE(""https://docs.google.com/spreadsheets/d/1MeEWN-I1oV_STSDYn1IFDPWt_1FKiwhDph83XaGc0o0/edit?usp=sharing"",""งบพรบ!AQ34"")"),31200)</f>
        <v>31200</v>
      </c>
      <c r="M93" s="870">
        <f ca="1">IFERROR(__xludf.DUMMYFUNCTION("IMPORTRANGE(""https://docs.google.com/spreadsheets/d/1MeEWN-I1oV_STSDYn1IFDPWt_1FKiwhDph83XaGc0o0/edit?usp=sharing"",""งบพรบ!AV34"")"),29350)</f>
        <v>29350</v>
      </c>
      <c r="N93" s="870">
        <f ca="1">IFERROR(__xludf.DUMMYFUNCTION("IMPORTRANGE(""https://docs.google.com/spreadsheets/d/1MeEWN-I1oV_STSDYn1IFDPWt_1FKiwhDph83XaGc0o0/edit?usp=sharing"",""งบพรบ!AX34"")"),19893)</f>
        <v>19893</v>
      </c>
      <c r="O93" s="870">
        <f t="shared" ca="1" si="50"/>
        <v>63.759615384615387</v>
      </c>
      <c r="P93" s="870">
        <f t="shared" ca="1" si="51"/>
        <v>67.778534923339009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IFERROR(__xludf.DUMMYFUNCTION("IMPORTRANGE(""https://docs.google.com/spreadsheets/d/1MeEWN-I1oV_STSDYn1IFDPWt_1FKiwhDph83XaGc0o0/edit?usp=sharing"",""งบพรบ!AT34"")"),0)</f>
        <v>0</v>
      </c>
      <c r="M96" s="870">
        <f ca="1">IFERROR(__xludf.DUMMYFUNCTION("IMPORTRANGE(""https://docs.google.com/spreadsheets/d/1MeEWN-I1oV_STSDYn1IFDPWt_1FKiwhDph83XaGc0o0/edit?usp=sharing"",""งบพรบ!AW34"")"),0)</f>
        <v>0</v>
      </c>
      <c r="N96" s="870">
        <f ca="1">IFERROR(__xludf.DUMMYFUNCTION("IMPORTRANGE(""https://docs.google.com/spreadsheets/d/1MeEWN-I1oV_STSDYn1IFDPWt_1FKiwhDph83XaGc0o0/edit?usp=sharing"",""งบพรบ!AY34"")"),0)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IFERROR(__xludf.DUMMYFUNCTION("IMPORTRANGE(""https://docs.google.com/spreadsheets/d/1QqKyyYR6Q21VydFLVH3TRQUabQu_ym0Zz7PgGX0-kHA/edit?usp=sharing"",""แผน!K34"")"),0)</f>
        <v>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IFERROR(__xludf.DUMMYFUNCTION("IMPORTRANGE(""https://docs.google.com/spreadsheets/d/1QqKyyYR6Q21VydFLVH3TRQUabQu_ym0Zz7PgGX0-kHA/edit?usp=sharing"",""แผน!L34"")"),0)</f>
        <v>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IFERROR(__xludf.DUMMYFUNCTION("IMPORTRANGE(""https://docs.google.com/spreadsheets/d/1QqKyyYR6Q21VydFLVH3TRQUabQu_ym0Zz7PgGX0-kHA/edit?usp=sharing"",""แผน!M34"")"),1)</f>
        <v>1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IFERROR(__xludf.DUMMYFUNCTION("IMPORTRANGE(""https://docs.google.com/spreadsheets/d/1QqKyyYR6Q21VydFLVH3TRQUabQu_ym0Zz7PgGX0-kHA/edit?usp=sharing"",""แผน!N34"")"),0)</f>
        <v>0</v>
      </c>
      <c r="J102" s="992">
        <v>0</v>
      </c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IFERROR(__xludf.DUMMYFUNCTION("IMPORTRANGE(""https://docs.google.com/spreadsheets/d/1QqKyyYR6Q21VydFLVH3TRQUabQu_ym0Zz7PgGX0-kHA/edit?usp=sharing"",""แผน!O34"")"),0)</f>
        <v>0</v>
      </c>
      <c r="J103" s="992">
        <v>0</v>
      </c>
      <c r="K103" s="864">
        <f t="shared" ca="1" si="56"/>
        <v>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IFERROR(__xludf.DUMMYFUNCTION("IMPORTRANGE(""https://docs.google.com/spreadsheets/d/1QqKyyYR6Q21VydFLVH3TRQUabQu_ym0Zz7PgGX0-kHA/edit?usp=sharing"",""แผน!O34"")"),0)</f>
        <v>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IFERROR(__xludf.DUMMYFUNCTION("IMPORTRANGE(""https://docs.google.com/spreadsheets/d/1QqKyyYR6Q21VydFLVH3TRQUabQu_ym0Zz7PgGX0-kHA/edit?usp=sharing"",""แผน!P34"")"),0)</f>
        <v>0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IFERROR(__xludf.DUMMYFUNCTION("IMPORTRANGE(""https://docs.google.com/spreadsheets/d/1QqKyyYR6Q21VydFLVH3TRQUabQu_ym0Zz7PgGX0-kHA/edit?usp=sharing"",""แผน!P34"")"),0)</f>
        <v>0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IFERROR(__xludf.DUMMYFUNCTION("IMPORTRANGE(""https://docs.google.com/spreadsheets/d/1QqKyyYR6Q21VydFLVH3TRQUabQu_ym0Zz7PgGX0-kHA/edit?usp=sharing"",""แผน!Q34"")"),1)</f>
        <v>1</v>
      </c>
      <c r="J109" s="992"/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IFERROR(__xludf.DUMMYFUNCTION("IMPORTRANGE(""https://docs.google.com/spreadsheets/d/1QqKyyYR6Q21VydFLVH3TRQUabQu_ym0Zz7PgGX0-kHA/edit?usp=sharing"",""แผน!Q34"")"),1)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IFERROR(__xludf.DUMMYFUNCTION("IMPORTRANGE(""https://docs.google.com/spreadsheets/d/1QqKyyYR6Q21VydFLVH3TRQUabQu_ym0Zz7PgGX0-kHA/edit?usp=sharing"",""แผน!R34"")"),0)</f>
        <v>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1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IFERROR(__xludf.DUMMYFUNCTION("IMPORTRANGE(""https://docs.google.com/spreadsheets/d/1QqKyyYR6Q21VydFLVH3TRQUabQu_ym0Zz7PgGX0-kHA/edit?usp=sharing"",""แผน!R34"")"),0)</f>
        <v>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IFERROR(__xludf.DUMMYFUNCTION("IMPORTRANGE(""https://docs.google.com/spreadsheets/d/1QqKyyYR6Q21VydFLVH3TRQUabQu_ym0Zz7PgGX0-kHA/edit?usp=sharing"",""แผน!R34"")"),0)</f>
        <v>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IFERROR(__xludf.DUMMYFUNCTION("IMPORTRANGE(""https://docs.google.com/spreadsheets/d/1QqKyyYR6Q21VydFLVH3TRQUabQu_ym0Zz7PgGX0-kHA/edit?usp=sharing"",""แผน!S34"")"),0)</f>
        <v>0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IFERROR(__xludf.DUMMYFUNCTION("IMPORTRANGE(""https://docs.google.com/spreadsheets/d/1QqKyyYR6Q21VydFLVH3TRQUabQu_ym0Zz7PgGX0-kHA/edit?usp=sharing"",""แผน!T34"")"),1)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IFERROR(__xludf.DUMMYFUNCTION("IMPORTRANGE(""https://docs.google.com/spreadsheets/d/1MeEWN-I1oV_STSDYn1IFDPWt_1FKiwhDph83XaGc0o0/edit?usp=sharing"",""งบพรบ!BA34"")"),0)</f>
        <v>0</v>
      </c>
      <c r="M124" s="870">
        <f ca="1">IFERROR(__xludf.DUMMYFUNCTION("IMPORTRANGE(""https://docs.google.com/spreadsheets/d/1MeEWN-I1oV_STSDYn1IFDPWt_1FKiwhDph83XaGc0o0/edit?usp=sharing"",""งบพรบ!BF34"")"),0)</f>
        <v>0</v>
      </c>
      <c r="N124" s="870">
        <f ca="1">IFERROR(__xludf.DUMMYFUNCTION("IMPORTRANGE(""https://docs.google.com/spreadsheets/d/1MeEWN-I1oV_STSDYn1IFDPWt_1FKiwhDph83XaGc0o0/edit?usp=sharing"",""งบพรบ!BH34"")"),0)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IFERROR(__xludf.DUMMYFUNCTION("IMPORTRANGE(""https://docs.google.com/spreadsheets/d/1MeEWN-I1oV_STSDYn1IFDPWt_1FKiwhDph83XaGc0o0/edit?usp=sharing"",""งบพรบ!BD34"")"),0)</f>
        <v>0</v>
      </c>
      <c r="M127" s="870">
        <f ca="1">IFERROR(__xludf.DUMMYFUNCTION("IMPORTRANGE(""https://docs.google.com/spreadsheets/d/1MeEWN-I1oV_STSDYn1IFDPWt_1FKiwhDph83XaGc0o0/edit?usp=sharing"",""งบพรบ!BG34"")"),0)</f>
        <v>0</v>
      </c>
      <c r="N127" s="870">
        <f ca="1">IFERROR(__xludf.DUMMYFUNCTION("IMPORTRANGE(""https://docs.google.com/spreadsheets/d/1MeEWN-I1oV_STSDYn1IFDPWt_1FKiwhDph83XaGc0o0/edit?usp=sharing"",""งบพรบ!BI34"")"),0)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IFERROR(__xludf.DUMMYFUNCTION("IMPORTRANGE(""https://docs.google.com/spreadsheets/d/1MeEWN-I1oV_STSDYn1IFDPWt_1FKiwhDph83XaGc0o0/edit?usp=sharing"",""งบพรบ!BK34"")"),0)</f>
        <v>0</v>
      </c>
      <c r="M137" s="870">
        <f ca="1">IFERROR(__xludf.DUMMYFUNCTION("IMPORTRANGE(""https://docs.google.com/spreadsheets/d/1MeEWN-I1oV_STSDYn1IFDPWt_1FKiwhDph83XaGc0o0/edit?usp=sharing"",""งบพรบ!BP34"")"),0)</f>
        <v>0</v>
      </c>
      <c r="N137" s="870">
        <f ca="1">IFERROR(__xludf.DUMMYFUNCTION("IMPORTRANGE(""https://docs.google.com/spreadsheets/d/1MeEWN-I1oV_STSDYn1IFDPWt_1FKiwhDph83XaGc0o0/edit?usp=sharing"",""งบพรบ!BR34"")"),0)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IFERROR(__xludf.DUMMYFUNCTION("IMPORTRANGE(""https://docs.google.com/spreadsheets/d/1MeEWN-I1oV_STSDYn1IFDPWt_1FKiwhDph83XaGc0o0/edit?usp=sharing"",""งบพรบ!BN34"")"),0)</f>
        <v>0</v>
      </c>
      <c r="M140" s="870">
        <f ca="1">IFERROR(__xludf.DUMMYFUNCTION("IMPORTRANGE(""https://docs.google.com/spreadsheets/d/1MeEWN-I1oV_STSDYn1IFDPWt_1FKiwhDph83XaGc0o0/edit?usp=sharing"",""งบพรบ!BQ34"")"),0)</f>
        <v>0</v>
      </c>
      <c r="N140" s="870">
        <f ca="1">IFERROR(__xludf.DUMMYFUNCTION("IMPORTRANGE(""https://docs.google.com/spreadsheets/d/1MeEWN-I1oV_STSDYn1IFDPWt_1FKiwhDph83XaGc0o0/edit?usp=sharing"",""งบพรบ!BS34"")"),0)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IFERROR(__xludf.DUMMYFUNCTION("IMPORTRANGE(""https://docs.google.com/spreadsheets/d/1QqKyyYR6Q21VydFLVH3TRQUabQu_ym0Zz7PgGX0-kHA/edit?usp=sharing"",""แผน!U34"")"),0)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IFERROR(__xludf.DUMMYFUNCTION("IMPORTRANGE(""https://docs.google.com/spreadsheets/d/1QqKyyYR6Q21VydFLVH3TRQUabQu_ym0Zz7PgGX0-kHA/edit?usp=sharing"",""แผน!V34"")"),0)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IFERROR(__xludf.DUMMYFUNCTION("IMPORTRANGE(""https://docs.google.com/spreadsheets/d/1QqKyyYR6Q21VydFLVH3TRQUabQu_ym0Zz7PgGX0-kHA/edit?usp=sharing"",""แผน!W34"")"),0)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6720</v>
      </c>
      <c r="N149" s="972">
        <f t="shared" ca="1" si="77"/>
        <v>4208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62.61904761904762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6720</v>
      </c>
      <c r="N151" s="870">
        <f t="shared" ca="1" si="80"/>
        <v>4208</v>
      </c>
      <c r="O151" s="870">
        <f t="shared" ca="1" si="78"/>
        <v>0</v>
      </c>
      <c r="P151" s="870">
        <f t="shared" ca="1" si="79"/>
        <v>62.61904761904762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6720</v>
      </c>
      <c r="N152" s="864">
        <f t="shared" ca="1" si="81"/>
        <v>4208</v>
      </c>
      <c r="O152" s="864">
        <f t="shared" ca="1" si="78"/>
        <v>0</v>
      </c>
      <c r="P152" s="864">
        <f t="shared" ca="1" si="79"/>
        <v>62.61904761904762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IFERROR(__xludf.DUMMYFUNCTION("IMPORTRANGE(""https://docs.google.com/spreadsheets/d/1MeEWN-I1oV_STSDYn1IFDPWt_1FKiwhDph83XaGc0o0/edit?usp=sharing"",""งบพรบ!BU34"")"),0)</f>
        <v>0</v>
      </c>
      <c r="M154" s="870">
        <f ca="1">IFERROR(__xludf.DUMMYFUNCTION("IMPORTRANGE(""https://docs.google.com/spreadsheets/d/1MeEWN-I1oV_STSDYn1IFDPWt_1FKiwhDph83XaGc0o0/edit?usp=sharing"",""งบพรบ!BZ34"")"),6720)</f>
        <v>6720</v>
      </c>
      <c r="N154" s="870">
        <f ca="1">IFERROR(__xludf.DUMMYFUNCTION("IMPORTRANGE(""https://docs.google.com/spreadsheets/d/1MeEWN-I1oV_STSDYn1IFDPWt_1FKiwhDph83XaGc0o0/edit?usp=sharing"",""งบพรบ!CB34"")"),4208)</f>
        <v>4208</v>
      </c>
      <c r="O154" s="870">
        <f t="shared" ca="1" si="78"/>
        <v>0</v>
      </c>
      <c r="P154" s="870">
        <f t="shared" ca="1" si="79"/>
        <v>62.61904761904762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IFERROR(__xludf.DUMMYFUNCTION("IMPORTRANGE(""https://docs.google.com/spreadsheets/d/1MeEWN-I1oV_STSDYn1IFDPWt_1FKiwhDph83XaGc0o0/edit?usp=sharing"",""งบพรบ!BX34"")"),0)</f>
        <v>0</v>
      </c>
      <c r="M157" s="870">
        <f ca="1">IFERROR(__xludf.DUMMYFUNCTION("IMPORTRANGE(""https://docs.google.com/spreadsheets/d/1MeEWN-I1oV_STSDYn1IFDPWt_1FKiwhDph83XaGc0o0/edit?usp=sharing"",""งบพรบ!CA34"")"),0)</f>
        <v>0</v>
      </c>
      <c r="N157" s="870">
        <f ca="1">IFERROR(__xludf.DUMMYFUNCTION("IMPORTRANGE(""https://docs.google.com/spreadsheets/d/1MeEWN-I1oV_STSDYn1IFDPWt_1FKiwhDph83XaGc0o0/edit?usp=sharing"",""งบพรบ!CC34"")"),0)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IFERROR(__xludf.DUMMYFUNCTION("IMPORTRANGE(""https://docs.google.com/spreadsheets/d/1QqKyyYR6Q21VydFLVH3TRQUabQu_ym0Zz7PgGX0-kHA/edit?usp=sharing"",""แผน!X34"")"),0)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10</v>
      </c>
      <c r="J164" s="1041">
        <f t="shared" si="83"/>
        <v>10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21050</v>
      </c>
      <c r="M165" s="972">
        <f t="shared" ca="1" si="84"/>
        <v>32620</v>
      </c>
      <c r="N165" s="972">
        <f t="shared" ca="1" si="84"/>
        <v>31720</v>
      </c>
      <c r="O165" s="972">
        <f t="shared" ref="O165:O173" ca="1" si="85">IF(L165&gt;0,N165*100/L165,0)</f>
        <v>150.68883610451306</v>
      </c>
      <c r="P165" s="972">
        <f t="shared" ref="P165:P173" ca="1" si="86">IF(M165&gt;0,N165*100/M165,0)</f>
        <v>97.240956468424287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21050</v>
      </c>
      <c r="M167" s="870">
        <f t="shared" ca="1" si="87"/>
        <v>32620</v>
      </c>
      <c r="N167" s="870">
        <f t="shared" ca="1" si="87"/>
        <v>31720</v>
      </c>
      <c r="O167" s="870">
        <f t="shared" ca="1" si="85"/>
        <v>150.68883610451306</v>
      </c>
      <c r="P167" s="870">
        <f t="shared" ca="1" si="86"/>
        <v>97.240956468424287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21050</v>
      </c>
      <c r="M168" s="864">
        <f t="shared" ca="1" si="88"/>
        <v>32620</v>
      </c>
      <c r="N168" s="864">
        <f t="shared" ca="1" si="88"/>
        <v>31720</v>
      </c>
      <c r="O168" s="864">
        <f t="shared" ca="1" si="85"/>
        <v>150.68883610451306</v>
      </c>
      <c r="P168" s="864">
        <f t="shared" ca="1" si="86"/>
        <v>97.240956468424287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IFERROR(__xludf.DUMMYFUNCTION("IMPORTRANGE(""https://docs.google.com/spreadsheets/d/1MeEWN-I1oV_STSDYn1IFDPWt_1FKiwhDph83XaGc0o0/edit?usp=sharing"",""งบพรบ!CE34"")"),21050)</f>
        <v>21050</v>
      </c>
      <c r="M170" s="870">
        <f ca="1">IFERROR(__xludf.DUMMYFUNCTION("IMPORTRANGE(""https://docs.google.com/spreadsheets/d/1MeEWN-I1oV_STSDYn1IFDPWt_1FKiwhDph83XaGc0o0/edit?usp=sharing"",""งบพรบ!CJ34"")"),32620)</f>
        <v>32620</v>
      </c>
      <c r="N170" s="870">
        <f ca="1">IFERROR(__xludf.DUMMYFUNCTION("IMPORTRANGE(""https://docs.google.com/spreadsheets/d/1MeEWN-I1oV_STSDYn1IFDPWt_1FKiwhDph83XaGc0o0/edit?usp=sharing"",""งบพรบ!CL34"")"),31720)</f>
        <v>31720</v>
      </c>
      <c r="O170" s="870">
        <f t="shared" ca="1" si="85"/>
        <v>150.68883610451306</v>
      </c>
      <c r="P170" s="870">
        <f t="shared" ca="1" si="86"/>
        <v>97.240956468424287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IFERROR(__xludf.DUMMYFUNCTION("IMPORTRANGE(""https://docs.google.com/spreadsheets/d/1MeEWN-I1oV_STSDYn1IFDPWt_1FKiwhDph83XaGc0o0/edit?usp=sharing"",""งบพรบ!CH34"")"),0)</f>
        <v>0</v>
      </c>
      <c r="M173" s="870">
        <f ca="1">IFERROR(__xludf.DUMMYFUNCTION("IMPORTRANGE(""https://docs.google.com/spreadsheets/d/1MeEWN-I1oV_STSDYn1IFDPWt_1FKiwhDph83XaGc0o0/edit?usp=sharing"",""งบพรบ!CK34"")"),0)</f>
        <v>0</v>
      </c>
      <c r="N173" s="870">
        <f ca="1">IFERROR(__xludf.DUMMYFUNCTION("IMPORTRANGE(""https://docs.google.com/spreadsheets/d/1MeEWN-I1oV_STSDYn1IFDPWt_1FKiwhDph83XaGc0o0/edit?usp=sharing"",""งบพรบ!CM34"")"),0)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10</v>
      </c>
      <c r="J174" s="1048">
        <f t="shared" si="90"/>
        <v>10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IFERROR(__xludf.DUMMYFUNCTION("IMPORTRANGE(""https://docs.google.com/spreadsheets/d/1QqKyyYR6Q21VydFLVH3TRQUabQu_ym0Zz7PgGX0-kHA/edit?usp=sharing"",""แผน!Y34"")"),10)</f>
        <v>10</v>
      </c>
      <c r="J176" s="992">
        <v>10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362500</v>
      </c>
      <c r="M181" s="972">
        <f t="shared" ca="1" si="92"/>
        <v>269500</v>
      </c>
      <c r="N181" s="972">
        <f t="shared" ca="1" si="92"/>
        <v>111097</v>
      </c>
      <c r="O181" s="972">
        <f t="shared" ref="O181:O189" ca="1" si="93">IF(L181&gt;0,N181*100/L181,0)</f>
        <v>30.647448275862068</v>
      </c>
      <c r="P181" s="972">
        <f t="shared" ref="P181:P189" ca="1" si="94">IF(M181&gt;0,N181*100/M181,0)</f>
        <v>41.223376623376623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362500</v>
      </c>
      <c r="M183" s="870">
        <f t="shared" ca="1" si="95"/>
        <v>269500</v>
      </c>
      <c r="N183" s="870">
        <f t="shared" ca="1" si="95"/>
        <v>111097</v>
      </c>
      <c r="O183" s="870">
        <f t="shared" ca="1" si="93"/>
        <v>30.647448275862068</v>
      </c>
      <c r="P183" s="870">
        <f t="shared" ca="1" si="94"/>
        <v>41.223376623376623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362500</v>
      </c>
      <c r="M184" s="864">
        <f t="shared" ca="1" si="96"/>
        <v>269500</v>
      </c>
      <c r="N184" s="864">
        <f t="shared" ca="1" si="96"/>
        <v>111097</v>
      </c>
      <c r="O184" s="864">
        <f t="shared" ca="1" si="93"/>
        <v>30.647448275862068</v>
      </c>
      <c r="P184" s="864">
        <f t="shared" ca="1" si="94"/>
        <v>41.223376623376623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IFERROR(__xludf.DUMMYFUNCTION("IMPORTRANGE(""https://docs.google.com/spreadsheets/d/1MeEWN-I1oV_STSDYn1IFDPWt_1FKiwhDph83XaGc0o0/edit?usp=sharing"",""งบพรบ!CO34"")"),362500)</f>
        <v>362500</v>
      </c>
      <c r="M186" s="870">
        <f ca="1">IFERROR(__xludf.DUMMYFUNCTION("IMPORTRANGE(""https://docs.google.com/spreadsheets/d/1MeEWN-I1oV_STSDYn1IFDPWt_1FKiwhDph83XaGc0o0/edit?usp=sharing"",""งบพรบ!CT34"")"),269500)</f>
        <v>269500</v>
      </c>
      <c r="N186" s="870">
        <f ca="1">IFERROR(__xludf.DUMMYFUNCTION("IMPORTRANGE(""https://docs.google.com/spreadsheets/d/1MeEWN-I1oV_STSDYn1IFDPWt_1FKiwhDph83XaGc0o0/edit?usp=sharing"",""งบพรบ!CV34"")"),111097)</f>
        <v>111097</v>
      </c>
      <c r="O186" s="870">
        <f t="shared" ca="1" si="93"/>
        <v>30.647448275862068</v>
      </c>
      <c r="P186" s="870">
        <f t="shared" ca="1" si="94"/>
        <v>41.223376623376623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IFERROR(__xludf.DUMMYFUNCTION("IMPORTRANGE(""https://docs.google.com/spreadsheets/d/1MeEWN-I1oV_STSDYn1IFDPWt_1FKiwhDph83XaGc0o0/edit?usp=sharing"",""งบพรบ!CR34"")"),0)</f>
        <v>0</v>
      </c>
      <c r="M189" s="870">
        <f ca="1">IFERROR(__xludf.DUMMYFUNCTION("IMPORTRANGE(""https://docs.google.com/spreadsheets/d/1MeEWN-I1oV_STSDYn1IFDPWt_1FKiwhDph83XaGc0o0/edit?usp=sharing"",""งบพรบ!CU34"")"),0)</f>
        <v>0</v>
      </c>
      <c r="N189" s="870">
        <f ca="1">IFERROR(__xludf.DUMMYFUNCTION("IMPORTRANGE(""https://docs.google.com/spreadsheets/d/1MeEWN-I1oV_STSDYn1IFDPWt_1FKiwhDph83XaGc0o0/edit?usp=sharing"",""งบพรบ!CW34"")"),0)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IFERROR(__xludf.DUMMYFUNCTION("IMPORTRANGE(""https://docs.google.com/spreadsheets/d/1QqKyyYR6Q21VydFLVH3TRQUabQu_ym0Zz7PgGX0-kHA/edit?usp=sharing"",""แผน!Z34"")"),6000)</f>
        <v>6000</v>
      </c>
      <c r="M191" s="972"/>
      <c r="N191" s="1060">
        <v>1960</v>
      </c>
      <c r="O191" s="972">
        <f ca="1">IF(L191&gt;0,N191*100/L191,0)</f>
        <v>32.666666666666664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IFERROR(__xludf.DUMMYFUNCTION("IMPORTRANGE(""https://docs.google.com/spreadsheets/d/1QqKyyYR6Q21VydFLVH3TRQUabQu_ym0Zz7PgGX0-kHA/edit?usp=sharing"",""แผน!AC34"")"),4)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50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50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4</v>
      </c>
      <c r="J197" s="1057">
        <f t="shared" si="99"/>
        <v>0</v>
      </c>
      <c r="K197" s="1058">
        <f ca="1">IF(I197&gt;0,J197*100/I197,0)</f>
        <v>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52000</v>
      </c>
      <c r="M198" s="972"/>
      <c r="N198" s="972">
        <f>N199+N200+N201+N202</f>
        <v>0</v>
      </c>
      <c r="O198" s="972">
        <f ca="1">IF(L198&gt;0,N198*100/L198,0)</f>
        <v>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IFERROR(__xludf.DUMMYFUNCTION("IMPORTRANGE(""https://docs.google.com/spreadsheets/d/1QqKyyYR6Q21VydFLVH3TRQUabQu_ym0Zz7PgGX0-kHA/edit?usp=sharing"",""แผน!AE34"")"),4000)</f>
        <v>4000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IFERROR(__xludf.DUMMYFUNCTION("IMPORTRANGE(""https://docs.google.com/spreadsheets/d/1QqKyyYR6Q21VydFLVH3TRQUabQu_ym0Zz7PgGX0-kHA/edit?usp=sharing"",""แผน!AF34"")"),32000)</f>
        <v>32000</v>
      </c>
      <c r="M200" s="864"/>
      <c r="N200" s="1064">
        <v>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IFERROR(__xludf.DUMMYFUNCTION("IMPORTRANGE(""https://docs.google.com/spreadsheets/d/1QqKyyYR6Q21VydFLVH3TRQUabQu_ym0Zz7PgGX0-kHA/edit?usp=sharing"",""แผน!AG34"")"),16000)</f>
        <v>16000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IFERROR(__xludf.DUMMYFUNCTION("IMPORTRANGE(""https://docs.google.com/spreadsheets/d/1QqKyyYR6Q21VydFLVH3TRQUabQu_ym0Zz7PgGX0-kHA/edit?usp=sharing"",""แผน!AH34"")"),0)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IFERROR(__xludf.DUMMYFUNCTION("IMPORTRANGE(""https://docs.google.com/spreadsheets/d/1QqKyyYR6Q21VydFLVH3TRQUabQu_ym0Zz7PgGX0-kHA/edit?usp=sharing"",""แผน!AI34"")"),4)</f>
        <v>4</v>
      </c>
      <c r="J204" s="992">
        <v>0</v>
      </c>
      <c r="K204" s="978">
        <f ca="1">IF(I204&gt;0,J204*100/I204,0)</f>
        <v>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4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IFERROR(__xludf.DUMMYFUNCTION("IMPORTRANGE(""https://docs.google.com/spreadsheets/d/1QqKyyYR6Q21VydFLVH3TRQUabQu_ym0Zz7PgGX0-kHA/edit?usp=sharing"",""แผน!AK34"")"),0)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IFERROR(__xludf.DUMMYFUNCTION("IMPORTRANGE(""https://docs.google.com/spreadsheets/d/1QqKyyYR6Q21VydFLVH3TRQUabQu_ym0Zz7PgGX0-kHA/edit?usp=sharing"",""แผน!AL34"")"),0)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IFERROR(__xludf.DUMMYFUNCTION("IMPORTRANGE(""https://docs.google.com/spreadsheets/d/1QqKyyYR6Q21VydFLVH3TRQUabQu_ym0Zz7PgGX0-kHA/edit?usp=sharing"",""แผน!AM34"")"),0)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IFERROR(__xludf.DUMMYFUNCTION("IMPORTRANGE(""https://docs.google.com/spreadsheets/d/1QqKyyYR6Q21VydFLVH3TRQUabQu_ym0Zz7PgGX0-kHA/edit?usp=sharing"",""แผน!AN34"")"),0)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IFERROR(__xludf.DUMMYFUNCTION("IMPORTRANGE(""https://docs.google.com/spreadsheets/d/1QqKyyYR6Q21VydFLVH3TRQUabQu_ym0Zz7PgGX0-kHA/edit?usp=sharing"",""แผน!AN34"")"),0)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50000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18500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IFERROR(__xludf.DUMMYFUNCTION("IMPORTRANGE(""https://docs.google.com/spreadsheets/d/1QqKyyYR6Q21VydFLVH3TRQUabQu_ym0Zz7PgGX0-kHA/edit?usp=sharing"",""แผน!AP34"")"),5000)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IFERROR(__xludf.DUMMYFUNCTION("IMPORTRANGE(""https://docs.google.com/spreadsheets/d/1QqKyyYR6Q21VydFLVH3TRQUabQu_ym0Zz7PgGX0-kHA/edit?usp=sharing"",""แผน!AQ34"")"),13500)</f>
        <v>13500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IFERROR(__xludf.DUMMYFUNCTION("IMPORTRANGE(""https://docs.google.com/spreadsheets/d/1QqKyyYR6Q21VydFLVH3TRQUabQu_ym0Zz7PgGX0-kHA/edit?usp=sharing"",""แผน!AR34"")"),0)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IFERROR(__xludf.DUMMYFUNCTION("IMPORTRANGE(""https://docs.google.com/spreadsheets/d/1QqKyyYR6Q21VydFLVH3TRQUabQu_ym0Zz7PgGX0-kHA/edit?usp=sharing"",""แผน!AT34"")"),50000)</f>
        <v>50000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IFERROR(__xludf.DUMMYFUNCTION("IMPORTRANGE(""https://docs.google.com/spreadsheets/d/1QqKyyYR6Q21VydFLVH3TRQUabQu_ym0Zz7PgGX0-kHA/edit?usp=sharing"",""แผน!AT34"")"),50000)</f>
        <v>50000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IFERROR(__xludf.DUMMYFUNCTION("IMPORTRANGE(""https://docs.google.com/spreadsheets/d/1QqKyyYR6Q21VydFLVH3TRQUabQu_ym0Zz7PgGX0-kHA/edit?usp=sharing"",""แผน!AS34"")"),0)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IFERROR(__xludf.DUMMYFUNCTION("IMPORTRANGE(""https://docs.google.com/spreadsheets/d/1QqKyyYR6Q21VydFLVH3TRQUabQu_ym0Zz7PgGX0-kHA/edit?usp=sharing"",""แผน!AV34"")"),0)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IFERROR(__xludf.DUMMYFUNCTION("IMPORTRANGE(""https://docs.google.com/spreadsheets/d/1QqKyyYR6Q21VydFLVH3TRQUabQu_ym0Zz7PgGX0-kHA/edit?usp=sharing"",""แผน!AW34"")"),0)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IFERROR(__xludf.DUMMYFUNCTION("IMPORTRANGE(""https://docs.google.com/spreadsheets/d/1QqKyyYR6Q21VydFLVH3TRQUabQu_ym0Zz7PgGX0-kHA/edit?usp=sharing"",""แผน!AX34"")"),0)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IFERROR(__xludf.DUMMYFUNCTION("IMPORTRANGE(""https://docs.google.com/spreadsheets/d/1QqKyyYR6Q21VydFLVH3TRQUabQu_ym0Zz7PgGX0-kHA/edit?usp=sharing"",""แผน!AY34"")"),0)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IFERROR(__xludf.DUMMYFUNCTION("IMPORTRANGE(""https://docs.google.com/spreadsheets/d/1QqKyyYR6Q21VydFLVH3TRQUabQu_ym0Zz7PgGX0-kHA/edit?usp=sharing"",""แผน!BE34"")"),0)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IFERROR(__xludf.DUMMYFUNCTION("IMPORTRANGE(""https://docs.google.com/spreadsheets/d/1QqKyyYR6Q21VydFLVH3TRQUabQu_ym0Zz7PgGX0-kHA/edit?usp=sharing"",""แผน!AZ34"")"),0)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IFERROR(__xludf.DUMMYFUNCTION("IMPORTRANGE(""https://docs.google.com/spreadsheets/d/1QqKyyYR6Q21VydFLVH3TRQUabQu_ym0Zz7PgGX0-kHA/edit?usp=sharing"",""แผน!BA34"")"),0)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IFERROR(__xludf.DUMMYFUNCTION("IMPORTRANGE(""https://docs.google.com/spreadsheets/d/1QqKyyYR6Q21VydFLVH3TRQUabQu_ym0Zz7PgGX0-kHA/edit?usp=sharing"",""แผน!BB34"")"),0)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IFERROR(__xludf.DUMMYFUNCTION("IMPORTRANGE(""https://docs.google.com/spreadsheets/d/1QqKyyYR6Q21VydFLVH3TRQUabQu_ym0Zz7PgGX0-kHA/edit?usp=sharing"",""แผน!BC34"")"),0)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IFERROR(__xludf.DUMMYFUNCTION("IMPORTRANGE(""https://docs.google.com/spreadsheets/d/1QqKyyYR6Q21VydFLVH3TRQUabQu_ym0Zz7PgGX0-kHA/edit?usp=sharing"",""แผน!BF34"")"),0)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23900</v>
      </c>
      <c r="O261" s="972">
        <f t="shared" ref="O261:O269" ca="1" si="117">IF(L261&gt;0,N261*100/L261,0)</f>
        <v>88.847583643122675</v>
      </c>
      <c r="P261" s="972">
        <f t="shared" ref="P261:P269" ca="1" si="118">IF(M261&gt;0,N261*100/M261,0)</f>
        <v>100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23900</v>
      </c>
      <c r="O263" s="870">
        <f t="shared" ca="1" si="117"/>
        <v>88.847583643122675</v>
      </c>
      <c r="P263" s="870">
        <f t="shared" ca="1" si="118"/>
        <v>100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23900</v>
      </c>
      <c r="O264" s="864">
        <f t="shared" ca="1" si="117"/>
        <v>88.847583643122675</v>
      </c>
      <c r="P264" s="864">
        <f t="shared" ca="1" si="118"/>
        <v>100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IFERROR(__xludf.DUMMYFUNCTION("IMPORTRANGE(""https://docs.google.com/spreadsheets/d/1MeEWN-I1oV_STSDYn1IFDPWt_1FKiwhDph83XaGc0o0/edit?usp=sharing"",""งบพรบ!CY34"")"),26900)</f>
        <v>26900</v>
      </c>
      <c r="M266" s="870">
        <f ca="1">IFERROR(__xludf.DUMMYFUNCTION("IMPORTRANGE(""https://docs.google.com/spreadsheets/d/1MeEWN-I1oV_STSDYn1IFDPWt_1FKiwhDph83XaGc0o0/edit?usp=sharing"",""งบพรบ!DD34"")"),23900)</f>
        <v>23900</v>
      </c>
      <c r="N266" s="870">
        <f ca="1">IFERROR(__xludf.DUMMYFUNCTION("IMPORTRANGE(""https://docs.google.com/spreadsheets/d/1MeEWN-I1oV_STSDYn1IFDPWt_1FKiwhDph83XaGc0o0/edit?usp=sharing"",""งบพรบ!DF34"")"),23900)</f>
        <v>23900</v>
      </c>
      <c r="O266" s="870">
        <f t="shared" ca="1" si="117"/>
        <v>88.847583643122675</v>
      </c>
      <c r="P266" s="870">
        <f t="shared" ca="1" si="118"/>
        <v>100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IFERROR(__xludf.DUMMYFUNCTION("IMPORTRANGE(""https://docs.google.com/spreadsheets/d/1MeEWN-I1oV_STSDYn1IFDPWt_1FKiwhDph83XaGc0o0/edit?usp=sharing"",""งบพรบ!DB34"")"),0)</f>
        <v>0</v>
      </c>
      <c r="M269" s="870">
        <f ca="1">IFERROR(__xludf.DUMMYFUNCTION("IMPORTRANGE(""https://docs.google.com/spreadsheets/d/1MeEWN-I1oV_STSDYn1IFDPWt_1FKiwhDph83XaGc0o0/edit?usp=sharing"",""งบพรบ!DE34"")"),0)</f>
        <v>0</v>
      </c>
      <c r="N269" s="870">
        <f ca="1">IFERROR(__xludf.DUMMYFUNCTION("IMPORTRANGE(""https://docs.google.com/spreadsheets/d/1MeEWN-I1oV_STSDYn1IFDPWt_1FKiwhDph83XaGc0o0/edit?usp=sharing"",""งบพรบ!DG34"")"),0)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IFERROR(__xludf.DUMMYFUNCTION("IMPORTRANGE(""https://docs.google.com/spreadsheets/d/1QqKyyYR6Q21VydFLVH3TRQUabQu_ym0Zz7PgGX0-kHA/edit?usp=sharing"",""แผน!EA34"")"),22)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70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700</v>
      </c>
      <c r="J276" s="1141">
        <f t="shared" si="124"/>
        <v>0</v>
      </c>
      <c r="K276" s="1140">
        <f t="shared" ca="1" si="123"/>
        <v>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413560</v>
      </c>
      <c r="M277" s="972">
        <f t="shared" ca="1" si="125"/>
        <v>373010</v>
      </c>
      <c r="N277" s="972">
        <f t="shared" ca="1" si="125"/>
        <v>58420</v>
      </c>
      <c r="O277" s="972">
        <f t="shared" ref="O277:O285" ca="1" si="126">IF(L277&gt;0,N277*100/L277,0)</f>
        <v>14.126124383402651</v>
      </c>
      <c r="P277" s="972">
        <f t="shared" ref="P277:P285" ca="1" si="127">IF(M277&gt;0,N277*100/M277,0)</f>
        <v>15.661778504597732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413560</v>
      </c>
      <c r="M279" s="870">
        <f t="shared" ca="1" si="128"/>
        <v>373010</v>
      </c>
      <c r="N279" s="870">
        <f t="shared" ca="1" si="128"/>
        <v>58420</v>
      </c>
      <c r="O279" s="870">
        <f t="shared" ca="1" si="126"/>
        <v>14.126124383402651</v>
      </c>
      <c r="P279" s="870">
        <f t="shared" ca="1" si="127"/>
        <v>15.661778504597732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413560</v>
      </c>
      <c r="M280" s="864">
        <f t="shared" ca="1" si="129"/>
        <v>373010</v>
      </c>
      <c r="N280" s="864">
        <f t="shared" ca="1" si="129"/>
        <v>58420</v>
      </c>
      <c r="O280" s="864">
        <f t="shared" ca="1" si="126"/>
        <v>14.126124383402651</v>
      </c>
      <c r="P280" s="864">
        <f t="shared" ca="1" si="127"/>
        <v>15.661778504597732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IFERROR(__xludf.DUMMYFUNCTION("IMPORTRANGE(""https://docs.google.com/spreadsheets/d/1MeEWN-I1oV_STSDYn1IFDPWt_1FKiwhDph83XaGc0o0/edit?usp=sharing"",""งบพรบ!DI34"")"),413560)</f>
        <v>413560</v>
      </c>
      <c r="M282" s="870">
        <f ca="1">IFERROR(__xludf.DUMMYFUNCTION("IMPORTRANGE(""https://docs.google.com/spreadsheets/d/1MeEWN-I1oV_STSDYn1IFDPWt_1FKiwhDph83XaGc0o0/edit?usp=sharing"",""งบพรบ!DN34"")"),373010)</f>
        <v>373010</v>
      </c>
      <c r="N282" s="870">
        <f ca="1">IFERROR(__xludf.DUMMYFUNCTION("IMPORTRANGE(""https://docs.google.com/spreadsheets/d/1MeEWN-I1oV_STSDYn1IFDPWt_1FKiwhDph83XaGc0o0/edit?usp=sharing"",""งบพรบ!DP34"")"),58420)</f>
        <v>58420</v>
      </c>
      <c r="O282" s="870">
        <f t="shared" ca="1" si="126"/>
        <v>14.126124383402651</v>
      </c>
      <c r="P282" s="870">
        <f t="shared" ca="1" si="127"/>
        <v>15.661778504597732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IFERROR(__xludf.DUMMYFUNCTION("IMPORTRANGE(""https://docs.google.com/spreadsheets/d/1MeEWN-I1oV_STSDYn1IFDPWt_1FKiwhDph83XaGc0o0/edit?usp=sharing"",""งบพรบ!DL34"")"),0)</f>
        <v>0</v>
      </c>
      <c r="M285" s="870">
        <f ca="1">IFERROR(__xludf.DUMMYFUNCTION("IMPORTRANGE(""https://docs.google.com/spreadsheets/d/1MeEWN-I1oV_STSDYn1IFDPWt_1FKiwhDph83XaGc0o0/edit?usp=sharing"",""งบพรบ!DO34"")"),0)</f>
        <v>0</v>
      </c>
      <c r="N285" s="870">
        <f ca="1">IFERROR(__xludf.DUMMYFUNCTION("IMPORTRANGE(""https://docs.google.com/spreadsheets/d/1MeEWN-I1oV_STSDYn1IFDPWt_1FKiwhDph83XaGc0o0/edit?usp=sharing"",""งบพรบ!DQ34"")"),0)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IFERROR(__xludf.DUMMYFUNCTION("IMPORTRANGE(""https://docs.google.com/spreadsheets/d/1QqKyyYR6Q21VydFLVH3TRQUabQu_ym0Zz7PgGX0-kHA/edit?usp=sharing"",""แผน!EC34"")"),700)</f>
        <v>700</v>
      </c>
      <c r="J287" s="992">
        <v>0</v>
      </c>
      <c r="K287" s="978">
        <f t="shared" ref="K287:K288" ca="1" si="131">IF(I287&gt;0,J287*100/I287,0)</f>
        <v>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IFERROR(__xludf.DUMMYFUNCTION("IMPORTRANGE(""https://docs.google.com/spreadsheets/d/1QqKyyYR6Q21VydFLVH3TRQUabQu_ym0Zz7PgGX0-kHA/edit?usp=sharing"",""แผน!EB34"")"),70)</f>
        <v>70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IFERROR(__xludf.DUMMYFUNCTION("IMPORTRANGE(""https://docs.google.com/spreadsheets/d/1QqKyyYR6Q21VydFLVH3TRQUabQu_ym0Zz7PgGX0-kHA/edit?usp=sharing"",""แผน!EB34"")"),70)</f>
        <v>70</v>
      </c>
      <c r="J290" s="992">
        <v>70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IFERROR(__xludf.DUMMYFUNCTION("IMPORTRANGE(""https://docs.google.com/spreadsheets/d/1QqKyyYR6Q21VydFLVH3TRQUabQu_ym0Zz7PgGX0-kHA/edit?usp=sharing"",""แผน!EB34"")"),70)</f>
        <v>70</v>
      </c>
      <c r="J291" s="992">
        <v>70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IFERROR(__xludf.DUMMYFUNCTION("IMPORTRANGE(""https://docs.google.com/spreadsheets/d/1QqKyyYR6Q21VydFLVH3TRQUabQu_ym0Zz7PgGX0-kHA/edit?usp=sharing"",""แผน!EB34"")"),70)</f>
        <v>70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IFERROR(__xludf.DUMMYFUNCTION("IMPORTRANGE(""https://docs.google.com/spreadsheets/d/1QqKyyYR6Q21VydFLVH3TRQUabQu_ym0Zz7PgGX0-kHA/edit?usp=sharing"",""แผน!EB34"")"),70)</f>
        <v>70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IFERROR(__xludf.DUMMYFUNCTION("IMPORTRANGE(""https://docs.google.com/spreadsheets/d/1MeEWN-I1oV_STSDYn1IFDPWt_1FKiwhDph83XaGc0o0/edit?usp=sharing"",""งบพรบ!DS34"")"),0)</f>
        <v>0</v>
      </c>
      <c r="M303" s="870">
        <f ca="1">IFERROR(__xludf.DUMMYFUNCTION("IMPORTRANGE(""https://docs.google.com/spreadsheets/d/1MeEWN-I1oV_STSDYn1IFDPWt_1FKiwhDph83XaGc0o0/edit?usp=sharing"",""งบพรบ!DX34"")"),0)</f>
        <v>0</v>
      </c>
      <c r="N303" s="870">
        <f ca="1">IFERROR(__xludf.DUMMYFUNCTION("IMPORTRANGE(""https://docs.google.com/spreadsheets/d/1MeEWN-I1oV_STSDYn1IFDPWt_1FKiwhDph83XaGc0o0/edit?usp=sharing"",""งบพรบ!DZ34"")"),0)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IFERROR(__xludf.DUMMYFUNCTION("IMPORTRANGE(""https://docs.google.com/spreadsheets/d/1MeEWN-I1oV_STSDYn1IFDPWt_1FKiwhDph83XaGc0o0/edit?usp=sharing"",""งบพรบ!DV34"")"),0)</f>
        <v>0</v>
      </c>
      <c r="M306" s="870">
        <f ca="1">IFERROR(__xludf.DUMMYFUNCTION("IMPORTRANGE(""https://docs.google.com/spreadsheets/d/1MeEWN-I1oV_STSDYn1IFDPWt_1FKiwhDph83XaGc0o0/edit?usp=sharing"",""งบพรบ!DY34"")"),0)</f>
        <v>0</v>
      </c>
      <c r="N306" s="870">
        <f ca="1">IFERROR(__xludf.DUMMYFUNCTION("IMPORTRANGE(""https://docs.google.com/spreadsheets/d/1MeEWN-I1oV_STSDYn1IFDPWt_1FKiwhDph83XaGc0o0/edit?usp=sharing"",""งบพรบ!EA34"")"),0)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IFERROR(__xludf.DUMMYFUNCTION("IMPORTRANGE(""https://docs.google.com/spreadsheets/d/1QqKyyYR6Q21VydFLVH3TRQUabQu_ym0Zz7PgGX0-kHA/edit?usp=sharing"",""แผน!ED34"")"),0)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IFERROR(__xludf.DUMMYFUNCTION("IMPORTRANGE(""https://docs.google.com/spreadsheets/d/1QqKyyYR6Q21VydFLVH3TRQUabQu_ym0Zz7PgGX0-kHA/edit?usp=sharing"",""แผน!ED34"")"),0)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IFERROR(__xludf.DUMMYFUNCTION("IMPORTRANGE(""https://docs.google.com/spreadsheets/d/1QqKyyYR6Q21VydFLVH3TRQUabQu_ym0Zz7PgGX0-kHA/edit?usp=sharing"",""แผน!ED34"")"),0)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IFERROR(__xludf.DUMMYFUNCTION("IMPORTRANGE(""https://docs.google.com/spreadsheets/d/1QqKyyYR6Q21VydFLVH3TRQUabQu_ym0Zz7PgGX0-kHA/edit?usp=sharing"",""แผน!EE34"")"),0)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IFERROR(__xludf.DUMMYFUNCTION("IMPORTRANGE(""https://docs.google.com/spreadsheets/d/1MeEWN-I1oV_STSDYn1IFDPWt_1FKiwhDph83XaGc0o0/edit?usp=sharing"",""งบพรบ!EC34"")"),0)</f>
        <v>0</v>
      </c>
      <c r="M320" s="870">
        <f ca="1">IFERROR(__xludf.DUMMYFUNCTION("IMPORTRANGE(""https://docs.google.com/spreadsheets/d/1MeEWN-I1oV_STSDYn1IFDPWt_1FKiwhDph83XaGc0o0/edit?usp=sharing"",""งบพรบ!EH34"")"),0)</f>
        <v>0</v>
      </c>
      <c r="N320" s="870">
        <f ca="1">IFERROR(__xludf.DUMMYFUNCTION("IMPORTRANGE(""https://docs.google.com/spreadsheets/d/1MeEWN-I1oV_STSDYn1IFDPWt_1FKiwhDph83XaGc0o0/edit?usp=sharing"",""งบพรบ!EJ34"")"),0)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IFERROR(__xludf.DUMMYFUNCTION("IMPORTRANGE(""https://docs.google.com/spreadsheets/d/1MeEWN-I1oV_STSDYn1IFDPWt_1FKiwhDph83XaGc0o0/edit?usp=sharing"",""งบพรบ!EF34"")"),0)</f>
        <v>0</v>
      </c>
      <c r="M323" s="870">
        <f ca="1">IFERROR(__xludf.DUMMYFUNCTION("IMPORTRANGE(""https://docs.google.com/spreadsheets/d/1MeEWN-I1oV_STSDYn1IFDPWt_1FKiwhDph83XaGc0o0/edit?usp=sharing"",""งบพรบ!EI34"")"),0)</f>
        <v>0</v>
      </c>
      <c r="N323" s="870">
        <f ca="1">IFERROR(__xludf.DUMMYFUNCTION("IMPORTRANGE(""https://docs.google.com/spreadsheets/d/1MeEWN-I1oV_STSDYn1IFDPWt_1FKiwhDph83XaGc0o0/edit?usp=sharing"",""งบพรบ!EK34"")"),0)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IFERROR(__xludf.DUMMYFUNCTION("IMPORTRANGE(""https://docs.google.com/spreadsheets/d/1QqKyyYR6Q21VydFLVH3TRQUabQu_ym0Zz7PgGX0-kHA/edit?usp=sharing"",""แผน!EF34"")"),0)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IFERROR(__xludf.DUMMYFUNCTION("IMPORTRANGE(""https://docs.google.com/spreadsheets/d/1QqKyyYR6Q21VydFLVH3TRQUabQu_ym0Zz7PgGX0-kHA/edit?usp=sharing"",""แผน!EG34"")"),3400)</f>
        <v>3400</v>
      </c>
      <c r="J327" s="1170">
        <f ca="1">J338+J341+J342+J343</f>
        <v>2712</v>
      </c>
      <c r="K327" s="1171">
        <f ca="1">IF(I327&gt;0,J327*100/I327,0)</f>
        <v>79.764705882352942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183000</v>
      </c>
      <c r="M328" s="972">
        <f t="shared" ca="1" si="149"/>
        <v>139750</v>
      </c>
      <c r="N328" s="972">
        <f t="shared" ca="1" si="149"/>
        <v>85004</v>
      </c>
      <c r="O328" s="972">
        <f t="shared" ref="O328:O336" ca="1" si="150">IF(L328&gt;0,N328*100/L328,0)</f>
        <v>46.450273224043713</v>
      </c>
      <c r="P328" s="972">
        <f t="shared" ref="P328:P336" ca="1" si="151">IF(M328&gt;0,N328*100/M328,0)</f>
        <v>60.825760286225403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183000</v>
      </c>
      <c r="M330" s="870">
        <f t="shared" ca="1" si="152"/>
        <v>139750</v>
      </c>
      <c r="N330" s="870">
        <f t="shared" ca="1" si="152"/>
        <v>85004</v>
      </c>
      <c r="O330" s="870">
        <f t="shared" ca="1" si="150"/>
        <v>46.450273224043713</v>
      </c>
      <c r="P330" s="870">
        <f t="shared" ca="1" si="151"/>
        <v>60.825760286225403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183000</v>
      </c>
      <c r="M331" s="864">
        <f t="shared" ca="1" si="153"/>
        <v>139750</v>
      </c>
      <c r="N331" s="864">
        <f t="shared" ca="1" si="153"/>
        <v>85004</v>
      </c>
      <c r="O331" s="864">
        <f t="shared" ca="1" si="150"/>
        <v>46.450273224043713</v>
      </c>
      <c r="P331" s="864">
        <f t="shared" ca="1" si="151"/>
        <v>60.825760286225403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IFERROR(__xludf.DUMMYFUNCTION("IMPORTRANGE(""https://docs.google.com/spreadsheets/d/1MeEWN-I1oV_STSDYn1IFDPWt_1FKiwhDph83XaGc0o0/edit?usp=sharing"",""งบพรบ!EM34"")"),183000)</f>
        <v>183000</v>
      </c>
      <c r="M333" s="870">
        <f ca="1">IFERROR(__xludf.DUMMYFUNCTION("IMPORTRANGE(""https://docs.google.com/spreadsheets/d/1MeEWN-I1oV_STSDYn1IFDPWt_1FKiwhDph83XaGc0o0/edit?usp=sharing"",""งบพรบ!ER34"")"),139750)</f>
        <v>139750</v>
      </c>
      <c r="N333" s="870">
        <f ca="1">IFERROR(__xludf.DUMMYFUNCTION("IMPORTRANGE(""https://docs.google.com/spreadsheets/d/1MeEWN-I1oV_STSDYn1IFDPWt_1FKiwhDph83XaGc0o0/edit?usp=sharing"",""งบพรบ!ET34"")"),85004)</f>
        <v>85004</v>
      </c>
      <c r="O333" s="870">
        <f t="shared" ca="1" si="150"/>
        <v>46.450273224043713</v>
      </c>
      <c r="P333" s="870">
        <f t="shared" ca="1" si="151"/>
        <v>60.825760286225403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IFERROR(__xludf.DUMMYFUNCTION("IMPORTRANGE(""https://docs.google.com/spreadsheets/d/1MeEWN-I1oV_STSDYn1IFDPWt_1FKiwhDph83XaGc0o0/edit?usp=sharing"",""งบพรบ!EP34"")"),0)</f>
        <v>0</v>
      </c>
      <c r="M336" s="870">
        <f ca="1">IFERROR(__xludf.DUMMYFUNCTION("IMPORTRANGE(""https://docs.google.com/spreadsheets/d/1MeEWN-I1oV_STSDYn1IFDPWt_1FKiwhDph83XaGc0o0/edit?usp=sharing"",""งบพรบ!ES34"")"),0)</f>
        <v>0</v>
      </c>
      <c r="N336" s="870">
        <f ca="1">IFERROR(__xludf.DUMMYFUNCTION("IMPORTRANGE(""https://docs.google.com/spreadsheets/d/1MeEWN-I1oV_STSDYn1IFDPWt_1FKiwhDph83XaGc0o0/edit?usp=sharing"",""งบพรบ!EU34"")"),0)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IFERROR(__xludf.DUMMYFUNCTION("IMPORTRANGE(""https://docs.google.com/spreadsheets/d/1QqKyyYR6Q21VydFLVH3TRQUabQu_ym0Zz7PgGX0-kHA/edit?usp=sharing"",""แผน!EG34"")"),3400)</f>
        <v>3400</v>
      </c>
      <c r="J338" s="863">
        <f ca="1">IFERROR(__xludf.DUMMYFUNCTION("IMPORTRANGE(""https://docs.google.com/spreadsheets/d/1kVcqe37tkHyjCSG3S0O1AXqVkqjo8mSIZil3BcpIysc/edit?usp=sharing"",""ศูนย์!D34"")"),2578)</f>
        <v>2578</v>
      </c>
      <c r="K338" s="864">
        <f ca="1">IF(I338&gt;0,J338*100/I338,0)</f>
        <v>75.82352941176471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IFERROR(__xludf.DUMMYFUNCTION("IMPORTRANGE(""https://docs.google.com/spreadsheets/d/1QqKyyYR6Q21VydFLVH3TRQUabQu_ym0Zz7PgGX0-kHA/edit?usp=sharing"",""แผน!EH34"")"),10)</f>
        <v>10</v>
      </c>
      <c r="J340" s="863">
        <f ca="1">IFERROR(__xludf.DUMMYFUNCTION("IMPORTRANGE(""https://docs.google.com/spreadsheets/d/1kVcqe37tkHyjCSG3S0O1AXqVkqjo8mSIZil3BcpIysc/edit?usp=sharing"",""ศูนย์!E34"")"),2)</f>
        <v>2</v>
      </c>
      <c r="K340" s="864">
        <f ca="1">IF(I340&gt;0,J340*100/I340,0)</f>
        <v>20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IFERROR(__xludf.DUMMYFUNCTION("IMPORTRANGE(""https://docs.google.com/spreadsheets/d/1kVcqe37tkHyjCSG3S0O1AXqVkqjo8mSIZil3BcpIysc/edit?usp=sharing"",""ศูนย์!F34"")"),134)</f>
        <v>134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IFERROR(__xludf.DUMMYFUNCTION("IMPORTRANGE(""https://docs.google.com/spreadsheets/d/1kVcqe37tkHyjCSG3S0O1AXqVkqjo8mSIZil3BcpIysc/edit?usp=sharing"",""ศูนย์!G34"")"),0)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IFERROR(__xludf.DUMMYFUNCTION("IMPORTRANGE(""https://docs.google.com/spreadsheets/d/1kVcqe37tkHyjCSG3S0O1AXqVkqjo8mSIZil3BcpIysc/edit?usp=sharing"",""ศูนย์!H34"")"),0)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1905220</v>
      </c>
      <c r="M345" s="972">
        <f t="shared" ca="1" si="155"/>
        <v>1449820</v>
      </c>
      <c r="N345" s="972">
        <f t="shared" ca="1" si="155"/>
        <v>912497.2</v>
      </c>
      <c r="O345" s="972">
        <f t="shared" ref="O345:O353" ca="1" si="156">IF(L345&gt;0,N345*100/L345,0)</f>
        <v>47.894584352463234</v>
      </c>
      <c r="P345" s="972">
        <f t="shared" ref="P345:P353" ca="1" si="157">IF(M345&gt;0,N345*100/M345,0)</f>
        <v>62.938654453656319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1905220</v>
      </c>
      <c r="M347" s="870">
        <f t="shared" ca="1" si="158"/>
        <v>1449820</v>
      </c>
      <c r="N347" s="870">
        <f t="shared" ca="1" si="158"/>
        <v>912497.2</v>
      </c>
      <c r="O347" s="870">
        <f t="shared" ca="1" si="156"/>
        <v>47.894584352463234</v>
      </c>
      <c r="P347" s="870">
        <f t="shared" ca="1" si="157"/>
        <v>62.938654453656319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1753620</v>
      </c>
      <c r="M348" s="864">
        <f t="shared" ca="1" si="159"/>
        <v>1298220</v>
      </c>
      <c r="N348" s="864">
        <f t="shared" ca="1" si="159"/>
        <v>760897.2</v>
      </c>
      <c r="O348" s="864">
        <f t="shared" ca="1" si="156"/>
        <v>43.390084510897459</v>
      </c>
      <c r="P348" s="864">
        <f t="shared" ca="1" si="157"/>
        <v>58.610805564542218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IFERROR(__xludf.DUMMYFUNCTION("IMPORTRANGE(""https://docs.google.com/spreadsheets/d/1MeEWN-I1oV_STSDYn1IFDPWt_1FKiwhDph83XaGc0o0/edit?usp=sharing"",""งบพรบ!EW34"")"),1753620)</f>
        <v>1753620</v>
      </c>
      <c r="M350" s="870">
        <f ca="1">IFERROR(__xludf.DUMMYFUNCTION("IMPORTRANGE(""https://docs.google.com/spreadsheets/d/1MeEWN-I1oV_STSDYn1IFDPWt_1FKiwhDph83XaGc0o0/edit?usp=sharing"",""งบพรบ!FB34"")"),1298220)</f>
        <v>1298220</v>
      </c>
      <c r="N350" s="870">
        <f ca="1">IFERROR(__xludf.DUMMYFUNCTION("IMPORTRANGE(""https://docs.google.com/spreadsheets/d/1MeEWN-I1oV_STSDYn1IFDPWt_1FKiwhDph83XaGc0o0/edit?usp=sharing"",""งบพรบ!FD34"")"),760897.2)</f>
        <v>760897.2</v>
      </c>
      <c r="O350" s="870">
        <f t="shared" ca="1" si="156"/>
        <v>43.390084510897459</v>
      </c>
      <c r="P350" s="870">
        <f t="shared" ca="1" si="157"/>
        <v>58.610805564542218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151600</v>
      </c>
      <c r="M351" s="864">
        <f t="shared" ca="1" si="160"/>
        <v>151600</v>
      </c>
      <c r="N351" s="864">
        <f t="shared" ca="1" si="160"/>
        <v>151600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IFERROR(__xludf.DUMMYFUNCTION("IMPORTRANGE(""https://docs.google.com/spreadsheets/d/1MeEWN-I1oV_STSDYn1IFDPWt_1FKiwhDph83XaGc0o0/edit?usp=sharing"",""งบพรบ!EZ34"")"),151600)</f>
        <v>151600</v>
      </c>
      <c r="M353" s="870">
        <f ca="1">IFERROR(__xludf.DUMMYFUNCTION("IMPORTRANGE(""https://docs.google.com/spreadsheets/d/1MeEWN-I1oV_STSDYn1IFDPWt_1FKiwhDph83XaGc0o0/edit?usp=sharing"",""งบพรบ!FC34"")"),151600)</f>
        <v>151600</v>
      </c>
      <c r="N353" s="870">
        <f ca="1">IFERROR(__xludf.DUMMYFUNCTION("IMPORTRANGE(""https://docs.google.com/spreadsheets/d/1MeEWN-I1oV_STSDYn1IFDPWt_1FKiwhDph83XaGc0o0/edit?usp=sharing"",""งบพรบ!FE34"")"),151600)</f>
        <v>151600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IFERROR(__xludf.DUMMYFUNCTION("IMPORTRANGE(""https://docs.google.com/spreadsheets/d/1QqKyyYR6Q21VydFLVH3TRQUabQu_ym0Zz7PgGX0-kHA/edit?usp=sharing"",""แผน!EP34"")"),700)</f>
        <v>700</v>
      </c>
      <c r="J355" s="1186">
        <f ca="1">J362</f>
        <v>22</v>
      </c>
      <c r="K355" s="1187">
        <f ca="1">IF(I355&gt;0,J355*100/I355,0)</f>
        <v>3.1428571428571428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IFERROR(__xludf.DUMMYFUNCTION("IMPORTRANGE(""https://docs.google.com/spreadsheets/d/1XWAQStnk-4SwqDmLtmXYiTMKHgktTP8We1SCoS47DrQ/edit?usp=sharing"",""จัดที่ดิน!W34"")"),197)</f>
        <v>197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IFERROR(__xludf.DUMMYFUNCTION("IMPORTRANGE(""https://docs.google.com/spreadsheets/d/1QqKyyYR6Q21VydFLVH3TRQUabQu_ym0Zz7PgGX0-kHA/edit?usp=sharing"",""แผน!EO34"")"),7000)</f>
        <v>7000</v>
      </c>
      <c r="J359" s="863">
        <f ca="1">IFERROR(__xludf.DUMMYFUNCTION("IMPORTRANGE(""https://docs.google.com/spreadsheets/d/1XWAQStnk-4SwqDmLtmXYiTMKHgktTP8We1SCoS47DrQ/edit?usp=sharing"",""จัดที่ดิน!X34"")"),1547.73)</f>
        <v>1547.73</v>
      </c>
      <c r="K359" s="864">
        <f t="shared" ca="1" si="161"/>
        <v>22.110428571428571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IFERROR(__xludf.DUMMYFUNCTION("IMPORTRANGE(""https://docs.google.com/spreadsheets/d/1QqKyyYR6Q21VydFLVH3TRQUabQu_ym0Zz7PgGX0-kHA/edit?usp=sharing"",""แผน!EP34"")"),700)</f>
        <v>700</v>
      </c>
      <c r="J360" s="863">
        <f ca="1">IFERROR(__xludf.DUMMYFUNCTION("IMPORTRANGE(""https://docs.google.com/spreadsheets/d/1XWAQStnk-4SwqDmLtmXYiTMKHgktTP8We1SCoS47DrQ/edit?usp=sharing"",""จัดที่ดิน!Y34"")"),136)</f>
        <v>136</v>
      </c>
      <c r="K360" s="864">
        <f t="shared" ca="1" si="161"/>
        <v>19.428571428571427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IFERROR(__xludf.DUMMYFUNCTION("IMPORTRANGE(""https://docs.google.com/spreadsheets/d/1XWAQStnk-4SwqDmLtmXYiTMKHgktTP8We1SCoS47DrQ/edit?usp=sharing"",""จัดที่ดิน!Z34"")"),1414.42)</f>
        <v>1414.42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IFERROR(__xludf.DUMMYFUNCTION("IMPORTRANGE(""https://docs.google.com/spreadsheets/d/1QqKyyYR6Q21VydFLVH3TRQUabQu_ym0Zz7PgGX0-kHA/edit?usp=sharing"",""แผน!EP34"")"),700)</f>
        <v>700</v>
      </c>
      <c r="J362" s="863">
        <f ca="1">IFERROR(__xludf.DUMMYFUNCTION("IMPORTRANGE(""https://docs.google.com/spreadsheets/d/1XWAQStnk-4SwqDmLtmXYiTMKHgktTP8We1SCoS47DrQ/edit?usp=sharing"",""จัดที่ดิน!AA34"")"),22)</f>
        <v>22</v>
      </c>
      <c r="K362" s="864">
        <f t="shared" ca="1" si="161"/>
        <v>3.1428571428571428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IFERROR(__xludf.DUMMYFUNCTION("IMPORTRANGE(""https://docs.google.com/spreadsheets/d/1XWAQStnk-4SwqDmLtmXYiTMKHgktTP8We1SCoS47DrQ/edit?usp=sharing"",""จัดที่ดิน!AB34"")"),234.12)</f>
        <v>234.12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1450</v>
      </c>
      <c r="J364" s="1199">
        <f t="shared" ca="1" si="162"/>
        <v>146</v>
      </c>
      <c r="K364" s="1200">
        <f t="shared" ca="1" si="161"/>
        <v>10.068965517241379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IFERROR(__xludf.DUMMYFUNCTION("IMPORTRANGE(""https://docs.google.com/spreadsheets/d/1QqKyyYR6Q21VydFLVH3TRQUabQu_ym0Zz7PgGX0-kHA/edit?usp=sharing"",""แผน!EJ34"")"),100)</f>
        <v>100</v>
      </c>
      <c r="J365" s="1207">
        <f ca="1">J372</f>
        <v>5</v>
      </c>
      <c r="K365" s="1208">
        <f t="shared" ca="1" si="161"/>
        <v>5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IFERROR(__xludf.DUMMYFUNCTION("IMPORTRANGE(""https://docs.google.com/spreadsheets/d/1XWAQStnk-4SwqDmLtmXYiTMKHgktTP8We1SCoS47DrQ/edit?usp=sharing"",""จัดที่ดิน!E34"")"),66)</f>
        <v>66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IFERROR(__xludf.DUMMYFUNCTION("IMPORTRANGE(""https://docs.google.com/spreadsheets/d/1QqKyyYR6Q21VydFLVH3TRQUabQu_ym0Zz7PgGX0-kHA/edit?usp=sharing"",""แผน!EI34"")"),1000)</f>
        <v>1000</v>
      </c>
      <c r="J369" s="863">
        <f ca="1">IFERROR(__xludf.DUMMYFUNCTION("IMPORTRANGE(""https://docs.google.com/spreadsheets/d/1XWAQStnk-4SwqDmLtmXYiTMKHgktTP8We1SCoS47DrQ/edit?usp=sharing"",""จัดที่ดิน!F34"")"),310.86)</f>
        <v>310.86</v>
      </c>
      <c r="K369" s="864">
        <f t="shared" ca="1" si="163"/>
        <v>31.085999999999999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IFERROR(__xludf.DUMMYFUNCTION("IMPORTRANGE(""https://docs.google.com/spreadsheets/d/1QqKyyYR6Q21VydFLVH3TRQUabQu_ym0Zz7PgGX0-kHA/edit?usp=sharing"",""แผน!EJ34"")"),100)</f>
        <v>100</v>
      </c>
      <c r="J370" s="863">
        <f ca="1">IFERROR(__xludf.DUMMYFUNCTION("IMPORTRANGE(""https://docs.google.com/spreadsheets/d/1XWAQStnk-4SwqDmLtmXYiTMKHgktTP8We1SCoS47DrQ/edit?usp=sharing"",""จัดที่ดิน!G34"")"),26)</f>
        <v>26</v>
      </c>
      <c r="K370" s="864">
        <f t="shared" ca="1" si="163"/>
        <v>26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IFERROR(__xludf.DUMMYFUNCTION("IMPORTRANGE(""https://docs.google.com/spreadsheets/d/1XWAQStnk-4SwqDmLtmXYiTMKHgktTP8We1SCoS47DrQ/edit?usp=sharing"",""จัดที่ดิน!H34"")"),360.62)</f>
        <v>360.62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IFERROR(__xludf.DUMMYFUNCTION("IMPORTRANGE(""https://docs.google.com/spreadsheets/d/1QqKyyYR6Q21VydFLVH3TRQUabQu_ym0Zz7PgGX0-kHA/edit?usp=sharing"",""แผน!EJ34"")"),100)</f>
        <v>100</v>
      </c>
      <c r="J372" s="863">
        <f ca="1">IFERROR(__xludf.DUMMYFUNCTION("IMPORTRANGE(""https://docs.google.com/spreadsheets/d/1XWAQStnk-4SwqDmLtmXYiTMKHgktTP8We1SCoS47DrQ/edit?usp=sharing"",""จัดที่ดิน!I34"")"),5)</f>
        <v>5</v>
      </c>
      <c r="K372" s="864">
        <f t="shared" ca="1" si="163"/>
        <v>5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IFERROR(__xludf.DUMMYFUNCTION("IMPORTRANGE(""https://docs.google.com/spreadsheets/d/1XWAQStnk-4SwqDmLtmXYiTMKHgktTP8We1SCoS47DrQ/edit?usp=sharing"",""จัดที่ดิน!J34"")"),61.6)</f>
        <v>61.6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IFERROR(__xludf.DUMMYFUNCTION("IMPORTRANGE(""https://docs.google.com/spreadsheets/d/1QqKyyYR6Q21VydFLVH3TRQUabQu_ym0Zz7PgGX0-kHA/edit?usp=sharing"",""แผน!EU34"")"),1350)</f>
        <v>1350</v>
      </c>
      <c r="J374" s="1207">
        <f ca="1">J381</f>
        <v>141</v>
      </c>
      <c r="K374" s="1208">
        <f t="shared" ca="1" si="163"/>
        <v>10.444444444444445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IFERROR(__xludf.DUMMYFUNCTION("IMPORTRANGE(""https://docs.google.com/spreadsheets/d/1XWAQStnk-4SwqDmLtmXYiTMKHgktTP8We1SCoS47DrQ/edit?usp=sharing"",""จัดที่ดิน!AH34"")"),131)</f>
        <v>131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IFERROR(__xludf.DUMMYFUNCTION("IMPORTRANGE(""https://docs.google.com/spreadsheets/d/1QqKyyYR6Q21VydFLVH3TRQUabQu_ym0Zz7PgGX0-kHA/edit?usp=sharing"",""แผน!ET34"")"),6000)</f>
        <v>6000</v>
      </c>
      <c r="J378" s="863">
        <f ca="1">IFERROR(__xludf.DUMMYFUNCTION("IMPORTRANGE(""https://docs.google.com/spreadsheets/d/1XWAQStnk-4SwqDmLtmXYiTMKHgktTP8We1SCoS47DrQ/edit?usp=sharing"",""จัดที่ดิน!AI34"")"),1236.87)</f>
        <v>1236.8699999999999</v>
      </c>
      <c r="K378" s="864">
        <f t="shared" ca="1" si="164"/>
        <v>20.614499999999996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IFERROR(__xludf.DUMMYFUNCTION("IMPORTRANGE(""https://docs.google.com/spreadsheets/d/1QqKyyYR6Q21VydFLVH3TRQUabQu_ym0Zz7PgGX0-kHA/edit?usp=sharing"",""แผน!EU34"")"),1350)</f>
        <v>1350</v>
      </c>
      <c r="J379" s="863">
        <f ca="1">IFERROR(__xludf.DUMMYFUNCTION("IMPORTRANGE(""https://docs.google.com/spreadsheets/d/1XWAQStnk-4SwqDmLtmXYiTMKHgktTP8We1SCoS47DrQ/edit?usp=sharing"",""จัดที่ดิน!AJ34"")"),353)</f>
        <v>353</v>
      </c>
      <c r="K379" s="864">
        <f t="shared" ca="1" si="164"/>
        <v>26.148148148148149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IFERROR(__xludf.DUMMYFUNCTION("IMPORTRANGE(""https://docs.google.com/spreadsheets/d/1XWAQStnk-4SwqDmLtmXYiTMKHgktTP8We1SCoS47DrQ/edit?usp=sharing"",""จัดที่ดิน!AK34"")"),4449.16)</f>
        <v>4449.16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IFERROR(__xludf.DUMMYFUNCTION("IMPORTRANGE(""https://docs.google.com/spreadsheets/d/1QqKyyYR6Q21VydFLVH3TRQUabQu_ym0Zz7PgGX0-kHA/edit?usp=sharing"",""แผน!EU34"")"),1350)</f>
        <v>1350</v>
      </c>
      <c r="J381" s="863">
        <f ca="1">IFERROR(__xludf.DUMMYFUNCTION("IMPORTRANGE(""https://docs.google.com/spreadsheets/d/1XWAQStnk-4SwqDmLtmXYiTMKHgktTP8We1SCoS47DrQ/edit?usp=sharing"",""จัดที่ดิน!AL34"")"),141)</f>
        <v>141</v>
      </c>
      <c r="K381" s="864">
        <f t="shared" ca="1" si="164"/>
        <v>10.444444444444445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IFERROR(__xludf.DUMMYFUNCTION("IMPORTRANGE(""https://docs.google.com/spreadsheets/d/1XWAQStnk-4SwqDmLtmXYiTMKHgktTP8We1SCoS47DrQ/edit?usp=sharing"",""จัดที่ดิน!AM34"")"),1926.29)</f>
        <v>1926.29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IFERROR(__xludf.DUMMYFUNCTION("IMPORTRANGE(""https://docs.google.com/spreadsheets/d/1QqKyyYR6Q21VydFLVH3TRQUabQu_ym0Zz7PgGX0-kHA/edit?usp=sharing"",""แผน!EW34"")"),100)</f>
        <v>100</v>
      </c>
      <c r="J385" s="1117">
        <f ca="1">IFERROR(__xludf.DUMMYFUNCTION("IMPORTRANGE(""https://docs.google.com/spreadsheets/d/1XWAQStnk-4SwqDmLtmXYiTMKHgktTP8We1SCoS47DrQ/edit?usp=sharing"",""จัดที่ดิน!AP34"")"),0)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IFERROR(__xludf.DUMMYFUNCTION("IMPORTRANGE(""https://docs.google.com/spreadsheets/d/1MeEWN-I1oV_STSDYn1IFDPWt_1FKiwhDph83XaGc0o0/edit?usp=sharing"",""งบพรบ!FG34"")"),0)</f>
        <v>0</v>
      </c>
      <c r="M394" s="870">
        <f ca="1">IFERROR(__xludf.DUMMYFUNCTION("IMPORTRANGE(""https://docs.google.com/spreadsheets/d/1MeEWN-I1oV_STSDYn1IFDPWt_1FKiwhDph83XaGc0o0/edit?usp=sharing"",""งบพรบ!FL34"")"),0)</f>
        <v>0</v>
      </c>
      <c r="N394" s="870">
        <f ca="1">IFERROR(__xludf.DUMMYFUNCTION("IMPORTRANGE(""https://docs.google.com/spreadsheets/d/1MeEWN-I1oV_STSDYn1IFDPWt_1FKiwhDph83XaGc0o0/edit?usp=sharing"",""งบพรบ!FN34"")"),0)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IFERROR(__xludf.DUMMYFUNCTION("IMPORTRANGE(""https://docs.google.com/spreadsheets/d/1MeEWN-I1oV_STSDYn1IFDPWt_1FKiwhDph83XaGc0o0/edit?usp=sharing"",""งบพรบ!FJ34"")"),0)</f>
        <v>0</v>
      </c>
      <c r="M397" s="870">
        <f ca="1">IFERROR(__xludf.DUMMYFUNCTION("IMPORTRANGE(""https://docs.google.com/spreadsheets/d/1MeEWN-I1oV_STSDYn1IFDPWt_1FKiwhDph83XaGc0o0/edit?usp=sharing"",""งบพรบ!FM34"")"),0)</f>
        <v>0</v>
      </c>
      <c r="N397" s="870">
        <f ca="1">IFERROR(__xludf.DUMMYFUNCTION("IMPORTRANGE(""https://docs.google.com/spreadsheets/d/1MeEWN-I1oV_STSDYn1IFDPWt_1FKiwhDph83XaGc0o0/edit?usp=sharing"",""งบพรบ!FO34"")"),0)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IFERROR(__xludf.DUMMYFUNCTION("IMPORTRANGE(""https://docs.google.com/spreadsheets/d/1MeEWN-I1oV_STSDYn1IFDPWt_1FKiwhDph83XaGc0o0/edit?usp=sharing"",""งบพรบ!FQ34"")"),0)</f>
        <v>0</v>
      </c>
      <c r="M407" s="870">
        <f ca="1">IFERROR(__xludf.DUMMYFUNCTION("IMPORTRANGE(""https://docs.google.com/spreadsheets/d/1MeEWN-I1oV_STSDYn1IFDPWt_1FKiwhDph83XaGc0o0/edit?usp=sharing"",""งบพรบ!FV34"")"),0)</f>
        <v>0</v>
      </c>
      <c r="N407" s="870">
        <f ca="1">IFERROR(__xludf.DUMMYFUNCTION("IMPORTRANGE(""https://docs.google.com/spreadsheets/d/1MeEWN-I1oV_STSDYn1IFDPWt_1FKiwhDph83XaGc0o0/edit?usp=sharing"",""งบพรบ!FX34"")"),0)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IFERROR(__xludf.DUMMYFUNCTION("IMPORTRANGE(""https://docs.google.com/spreadsheets/d/1MeEWN-I1oV_STSDYn1IFDPWt_1FKiwhDph83XaGc0o0/edit?usp=sharing"",""งบพรบ!FT34"")"),0)</f>
        <v>0</v>
      </c>
      <c r="M410" s="870">
        <f ca="1">IFERROR(__xludf.DUMMYFUNCTION("IMPORTRANGE(""https://docs.google.com/spreadsheets/d/1MeEWN-I1oV_STSDYn1IFDPWt_1FKiwhDph83XaGc0o0/edit?usp=sharing"",""งบพรบ!FW34"")"),0)</f>
        <v>0</v>
      </c>
      <c r="N410" s="870">
        <f ca="1">IFERROR(__xludf.DUMMYFUNCTION("IMPORTRANGE(""https://docs.google.com/spreadsheets/d/1MeEWN-I1oV_STSDYn1IFDPWt_1FKiwhDph83XaGc0o0/edit?usp=sharing"",""งบพรบ!FY34"")"),0)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2394164</v>
      </c>
      <c r="M414" s="1257">
        <f t="shared" si="181"/>
        <v>0</v>
      </c>
      <c r="N414" s="1257">
        <f t="shared" si="181"/>
        <v>771288</v>
      </c>
      <c r="O414" s="1257">
        <f ca="1">IF(L414&gt;0,N414*100/L414,0)</f>
        <v>32.215336961043604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36872</v>
      </c>
      <c r="O419" s="972">
        <f t="shared" ref="O419:O424" ca="1" si="185">IF(L419&gt;0,N419*100/L419,0)</f>
        <v>46.875158911772182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36872</v>
      </c>
      <c r="O421" s="870">
        <f t="shared" ca="1" si="185"/>
        <v>46.875158911772182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36872</v>
      </c>
      <c r="O422" s="864">
        <f t="shared" ca="1" si="185"/>
        <v>46.875158911772182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IFERROR(__xludf.DUMMYFUNCTION("IMPORTRANGE(""https://docs.google.com/spreadsheets/d/1QqKyyYR6Q21VydFLVH3TRQUabQu_ym0Zz7PgGX0-kHA/edit?usp=sharing"",""แผน!EY34"")"),78660)</f>
        <v>78660</v>
      </c>
      <c r="M424" s="870">
        <v>0</v>
      </c>
      <c r="N424" s="870">
        <f>N425+N426+N427+N428</f>
        <v>36872</v>
      </c>
      <c r="O424" s="870">
        <f t="shared" ca="1" si="185"/>
        <v>46.875158911772182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f>25480+1720</f>
        <v>27200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f>450+9222</f>
        <v>9672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IFERROR(__xludf.DUMMYFUNCTION("IMPORTRANGE(""https://docs.google.com/spreadsheets/d/1QqKyyYR6Q21VydFLVH3TRQUabQu_ym0Zz7PgGX0-kHA/edit?usp=sharing"",""แผน!FB34"")"),0)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IFERROR(__xludf.DUMMYFUNCTION("IMPORTRANGE(""https://docs.google.com/spreadsheets/d/1QqKyyYR6Q21VydFLVH3TRQUabQu_ym0Zz7PgGX0-kHA/edit?usp=sharing"",""แผน!FC34"")"),20)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IFERROR(__xludf.DUMMYFUNCTION("IMPORTRANGE(""https://docs.google.com/spreadsheets/d/1QqKyyYR6Q21VydFLVH3TRQUabQu_ym0Zz7PgGX0-kHA/edit?usp=sharing"",""แผน!FD34"")"),0)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IFERROR(__xludf.DUMMYFUNCTION("IMPORTRANGE(""https://docs.google.com/spreadsheets/d/1QqKyyYR6Q21VydFLVH3TRQUabQu_ym0Zz7PgGX0-kHA/edit?usp=sharing"",""แผน!FE34"")"),0)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IFERROR(__xludf.DUMMYFUNCTION("IMPORTRANGE(""https://docs.google.com/spreadsheets/d/1QqKyyYR6Q21VydFLVH3TRQUabQu_ym0Zz7PgGX0-kHA/edit?usp=sharing"",""แผน!FF34"")"),20)</f>
        <v>20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IFERROR(__xludf.DUMMYFUNCTION("IMPORTRANGE(""https://docs.google.com/spreadsheets/d/1QqKyyYR6Q21VydFLVH3TRQUabQu_ym0Zz7PgGX0-kHA/edit?usp=sharing"",""แผน!FG34"")"),1)</f>
        <v>1</v>
      </c>
      <c r="J440" s="992">
        <v>0</v>
      </c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IFERROR(__xludf.DUMMYFUNCTION("IMPORTRANGE(""https://docs.google.com/spreadsheets/d/1QqKyyYR6Q21VydFLVH3TRQUabQu_ym0Zz7PgGX0-kHA/edit?usp=sharing"",""แผน!FH34"")"),0)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 hidden="1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0</v>
      </c>
      <c r="J442" s="1285">
        <f t="shared" si="195"/>
        <v>0</v>
      </c>
      <c r="K442" s="1286">
        <f t="shared" ca="1" si="194"/>
        <v>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 hidden="1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0</v>
      </c>
      <c r="J443" s="1270">
        <f t="shared" si="196"/>
        <v>0</v>
      </c>
      <c r="K443" s="1271">
        <f t="shared" ca="1" si="194"/>
        <v>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 hidden="1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0</v>
      </c>
      <c r="M444" s="1000">
        <f t="shared" si="197"/>
        <v>0</v>
      </c>
      <c r="N444" s="1000">
        <f t="shared" si="197"/>
        <v>0</v>
      </c>
      <c r="O444" s="1000">
        <f t="shared" ref="O444:O449" ca="1" si="198">IF(L444&gt;0,N444*100/L444,0)</f>
        <v>0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0</v>
      </c>
      <c r="M446" s="870">
        <f t="shared" si="200"/>
        <v>0</v>
      </c>
      <c r="N446" s="870">
        <f t="shared" si="200"/>
        <v>0</v>
      </c>
      <c r="O446" s="870">
        <f t="shared" ca="1" si="198"/>
        <v>0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 hidden="1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0</v>
      </c>
      <c r="M447" s="864">
        <f t="shared" si="201"/>
        <v>0</v>
      </c>
      <c r="N447" s="864">
        <f t="shared" si="201"/>
        <v>0</v>
      </c>
      <c r="O447" s="864">
        <f t="shared" ca="1" si="198"/>
        <v>0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IFERROR(__xludf.DUMMYFUNCTION("IMPORTRANGE(""https://docs.google.com/spreadsheets/d/1QqKyyYR6Q21VydFLVH3TRQUabQu_ym0Zz7PgGX0-kHA/edit?usp=sharing"",""แผน!FJ34"")"),0)</f>
        <v>0</v>
      </c>
      <c r="M449" s="870">
        <v>0</v>
      </c>
      <c r="N449" s="870">
        <f>N450+N451+N452+N453</f>
        <v>0</v>
      </c>
      <c r="O449" s="870">
        <f t="shared" ca="1" si="198"/>
        <v>0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 hidden="1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 hidden="1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 hidden="1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 hidden="1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 hidden="1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IFERROR(__xludf.DUMMYFUNCTION("IMPORTRANGE(""https://docs.google.com/spreadsheets/d/1QqKyyYR6Q21VydFLVH3TRQUabQu_ym0Zz7PgGX0-kHA/edit?usp=sharing"",""แผน!FM34"")"),0)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 hidden="1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 hidden="1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IFERROR(__xludf.DUMMYFUNCTION("IMPORTRANGE(""https://docs.google.com/spreadsheets/d/1QqKyyYR6Q21VydFLVH3TRQUabQu_ym0Zz7PgGX0-kHA/edit?usp=sharing"",""แผน!FN34"")"),0)</f>
        <v>0</v>
      </c>
      <c r="J460" s="992">
        <v>0</v>
      </c>
      <c r="K460" s="864">
        <f ca="1">IF(I460&gt;0,J460*100/I460,0)</f>
        <v>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 hidden="1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 hidden="1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IFERROR(__xludf.DUMMYFUNCTION("IMPORTRANGE(""https://docs.google.com/spreadsheets/d/1QqKyyYR6Q21VydFLVH3TRQUabQu_ym0Zz7PgGX0-kHA/edit?usp=sharing"",""แผน!FO34"")"),0)</f>
        <v>0</v>
      </c>
      <c r="J462" s="992">
        <v>0</v>
      </c>
      <c r="K462" s="864">
        <f ca="1">IF(I462&gt;0,J462*100/I462,0)</f>
        <v>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 hidden="1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IFERROR(__xludf.DUMMYFUNCTION("IMPORTRANGE(""https://docs.google.com/spreadsheets/d/1QqKyyYR6Q21VydFLVH3TRQUabQu_ym0Zz7PgGX0-kHA/edit?usp=sharing"",""แผน!FO34"")"),0)</f>
        <v>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 hidden="1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IFERROR(__xludf.DUMMYFUNCTION("IMPORTRANGE(""https://docs.google.com/spreadsheets/d/1QqKyyYR6Q21VydFLVH3TRQUabQu_ym0Zz7PgGX0-kHA/edit?usp=sharing"",""แผน!FN34"")"),0)</f>
        <v>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IFERROR(__xludf.DUMMYFUNCTION("IMPORTRANGE(""https://docs.google.com/spreadsheets/d/1QqKyyYR6Q21VydFLVH3TRQUabQu_ym0Zz7PgGX0-kHA/edit?usp=sharing"",""แผน!FX34"")"),51)</f>
        <v>51</v>
      </c>
      <c r="J465" s="1285">
        <f>J485+J489+J492</f>
        <v>0</v>
      </c>
      <c r="K465" s="1286">
        <f t="shared" ref="K465:K466" ca="1" si="205">IF(I465&gt;0,J465*100/I465,0)</f>
        <v>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IFERROR(__xludf.DUMMYFUNCTION("IMPORTRANGE(""https://docs.google.com/spreadsheets/d/1QqKyyYR6Q21VydFLVH3TRQUabQu_ym0Zz7PgGX0-kHA/edit?usp=sharing"",""แผน!FW34"")"),500)</f>
        <v>500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410253</v>
      </c>
      <c r="M467" s="1000">
        <f t="shared" si="206"/>
        <v>0</v>
      </c>
      <c r="N467" s="1000">
        <f t="shared" si="206"/>
        <v>60170</v>
      </c>
      <c r="O467" s="1000">
        <f t="shared" ref="O467:O472" ca="1" si="207">IF(L467&gt;0,N467*100/L467,0)</f>
        <v>14.666559415775144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410253</v>
      </c>
      <c r="M469" s="870">
        <f t="shared" si="209"/>
        <v>0</v>
      </c>
      <c r="N469" s="870">
        <f t="shared" si="209"/>
        <v>60170</v>
      </c>
      <c r="O469" s="870">
        <f t="shared" ca="1" si="207"/>
        <v>14.666559415775144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410253</v>
      </c>
      <c r="M470" s="864">
        <f t="shared" si="210"/>
        <v>0</v>
      </c>
      <c r="N470" s="864">
        <f t="shared" si="210"/>
        <v>60170</v>
      </c>
      <c r="O470" s="864">
        <f t="shared" ca="1" si="207"/>
        <v>14.666559415775144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IFERROR(__xludf.DUMMYFUNCTION("IMPORTRANGE(""https://docs.google.com/spreadsheets/d/1QqKyyYR6Q21VydFLVH3TRQUabQu_ym0Zz7PgGX0-kHA/edit?usp=sharing"",""แผน!FS34"")"),410253)</f>
        <v>410253</v>
      </c>
      <c r="M472" s="870">
        <v>0</v>
      </c>
      <c r="N472" s="870">
        <f>N473+N474+N475+N476</f>
        <v>60170</v>
      </c>
      <c r="O472" s="870">
        <f t="shared" ca="1" si="207"/>
        <v>14.666559415775144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17930+760+41480</f>
        <v>60170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IFERROR(__xludf.DUMMYFUNCTION("IMPORTRANGE(""https://docs.google.com/spreadsheets/d/1QqKyyYR6Q21VydFLVH3TRQUabQu_ym0Zz7PgGX0-kHA/edit?usp=sharing"",""แผน!FV34"")"),0)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IFERROR(__xludf.DUMMYFUNCTION("IMPORTRANGE(""https://docs.google.com/spreadsheets/d/1QqKyyYR6Q21VydFLVH3TRQUabQu_ym0Zz7PgGX0-kHA/edit?usp=sharing"",""แผน!FY34"")"),450)</f>
        <v>450</v>
      </c>
      <c r="J483" s="992">
        <v>0</v>
      </c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IFERROR(__xludf.DUMMYFUNCTION("IMPORTRANGE(""https://docs.google.com/spreadsheets/d/1QqKyyYR6Q21VydFLVH3TRQUabQu_ym0Zz7PgGX0-kHA/edit?usp=sharing"",""แผน!FZ34"")"),45)</f>
        <v>45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IFERROR(__xludf.DUMMYFUNCTION("IMPORTRANGE(""https://docs.google.com/spreadsheets/d/1QqKyyYR6Q21VydFLVH3TRQUabQu_ym0Zz7PgGX0-kHA/edit?usp=sharing"",""แผน!GA34"")"),50)</f>
        <v>50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IFERROR(__xludf.DUMMYFUNCTION("IMPORTRANGE(""https://docs.google.com/spreadsheets/d/1QqKyyYR6Q21VydFLVH3TRQUabQu_ym0Zz7PgGX0-kHA/edit?usp=sharing"",""แผน!GB34"")"),5)</f>
        <v>5</v>
      </c>
      <c r="J489" s="992">
        <v>0</v>
      </c>
      <c r="K489" s="864">
        <f ca="1">IF(I489&gt;0,J489*100/I489,0)</f>
        <v>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IFERROR(__xludf.DUMMYFUNCTION("IMPORTRANGE(""https://docs.google.com/spreadsheets/d/1QqKyyYR6Q21VydFLVH3TRQUabQu_ym0Zz7PgGX0-kHA/edit?usp=sharing"",""แผน!GC34"")"),1)</f>
        <v>1</v>
      </c>
      <c r="J492" s="992">
        <v>0</v>
      </c>
      <c r="K492" s="864">
        <f ca="1">IF(I492&gt;0,J492*100/I492,0)</f>
        <v>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IFERROR(__xludf.DUMMYFUNCTION("IMPORTRANGE(""https://docs.google.com/spreadsheets/d/1QqKyyYR6Q21VydFLVH3TRQUabQu_ym0Zz7PgGX0-kHA/edit?usp=sharing"",""แผน!FY34"")"),450)</f>
        <v>450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IFERROR(__xludf.DUMMYFUNCTION("IMPORTRANGE(""https://docs.google.com/spreadsheets/d/1QqKyyYR6Q21VydFLVH3TRQUabQu_ym0Zz7PgGX0-kHA/edit?usp=sharing"",""แผน!GA34"")"),50)</f>
        <v>50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IFERROR(__xludf.DUMMYFUNCTION("IMPORTRANGE(""https://docs.google.com/spreadsheets/d/1QqKyyYR6Q21VydFLVH3TRQUabQu_ym0Zz7PgGX0-kHA/edit?usp=sharing"",""แผน!GQ34"")"),0)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IFERROR(__xludf.DUMMYFUNCTION("IMPORTRANGE(""https://docs.google.com/spreadsheets/d/1QqKyyYR6Q21VydFLVH3TRQUabQu_ym0Zz7PgGX0-kHA/edit?usp=sharing"",""แผน!GT34"")"),0)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IFERROR(__xludf.DUMMYFUNCTION("IMPORTRANGE(""https://docs.google.com/spreadsheets/d/1QqKyyYR6Q21VydFLVH3TRQUabQu_ym0Zz7PgGX0-kHA/edit?usp=sharing"",""แผน!GU34"")"),0)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IFERROR(__xludf.DUMMYFUNCTION("IMPORTRANGE(""https://docs.google.com/spreadsheets/d/1QqKyyYR6Q21VydFLVH3TRQUabQu_ym0Zz7PgGX0-kHA/edit?usp=sharing"",""แผน!GV34"")"),0)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IFERROR(__xludf.DUMMYFUNCTION("IMPORTRANGE(""https://docs.google.com/spreadsheets/d/1QqKyyYR6Q21VydFLVH3TRQUabQu_ym0Zz7PgGX0-kHA/edit?usp=sharing"",""แผน!GW34"")"),0)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IFERROR(__xludf.DUMMYFUNCTION("IMPORTRANGE(""https://docs.google.com/spreadsheets/d/1QqKyyYR6Q21VydFLVH3TRQUabQu_ym0Zz7PgGX0-kHA/edit?usp=sharing"",""แผน!GX34"")"),0)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IFERROR(__xludf.DUMMYFUNCTION("IMPORTRANGE(""https://docs.google.com/spreadsheets/d/1QqKyyYR6Q21VydFLVH3TRQUabQu_ym0Zz7PgGX0-kHA/edit?usp=sharing"",""แผน!GY34"")"),0)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IFERROR(__xludf.DUMMYFUNCTION("IMPORTRANGE(""https://docs.google.com/spreadsheets/d/1QqKyyYR6Q21VydFLVH3TRQUabQu_ym0Zz7PgGX0-kHA/edit?usp=sharing"",""แผน!GZ34"")"),0)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99295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689881</v>
      </c>
      <c r="M544" s="972">
        <f t="shared" si="236"/>
        <v>0</v>
      </c>
      <c r="N544" s="972">
        <f t="shared" si="236"/>
        <v>209791</v>
      </c>
      <c r="O544" s="972">
        <f t="shared" ref="O544:O549" ca="1" si="237">IF(L544&gt;0,N544*100/L544,0)</f>
        <v>30.409737331510797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689881</v>
      </c>
      <c r="M546" s="870">
        <f t="shared" si="240"/>
        <v>0</v>
      </c>
      <c r="N546" s="870">
        <f t="shared" si="240"/>
        <v>209791</v>
      </c>
      <c r="O546" s="870">
        <f t="shared" ca="1" si="237"/>
        <v>30.409737331510797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689881</v>
      </c>
      <c r="M547" s="864">
        <f t="shared" si="241"/>
        <v>0</v>
      </c>
      <c r="N547" s="864">
        <f t="shared" si="241"/>
        <v>209791</v>
      </c>
      <c r="O547" s="864">
        <f t="shared" ca="1" si="237"/>
        <v>30.409737331510797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IFERROR(__xludf.DUMMYFUNCTION("IMPORTRANGE(""https://docs.google.com/spreadsheets/d/1QqKyyYR6Q21VydFLVH3TRQUabQu_ym0Zz7PgGX0-kHA/edit?usp=sharing"",""แผน!HB34"")"),689881)</f>
        <v>689881</v>
      </c>
      <c r="M549" s="870">
        <v>0</v>
      </c>
      <c r="N549" s="870">
        <f>N550+N551+N552+N553+N554</f>
        <v>209791</v>
      </c>
      <c r="O549" s="870">
        <f t="shared" ca="1" si="237"/>
        <v>30.409737331510797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32700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f>37266+21742</f>
        <v>59008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83435+1108+33540</f>
        <v>118083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IFERROR(__xludf.DUMMYFUNCTION("IMPORTRANGE(""https://docs.google.com/spreadsheets/d/1QqKyyYR6Q21VydFLVH3TRQUabQu_ym0Zz7PgGX0-kHA/edit?usp=sharing"",""แผน!HF34"")"),0)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99295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IFERROR(__xludf.DUMMYFUNCTION("IMPORTRANGE(""https://docs.google.com/spreadsheets/d/1QqKyyYR6Q21VydFLVH3TRQUabQu_ym0Zz7PgGX0-kHA/edit?usp=sharing"",""แผน!HH34"")"),99295)</f>
        <v>99295</v>
      </c>
      <c r="J560" s="998">
        <f t="shared" ref="J560:J561" si="247">J562+J564+J566</f>
        <v>99295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IFERROR(__xludf.DUMMYFUNCTION("IMPORTRANGE(""https://docs.google.com/spreadsheets/d/1QqKyyYR6Q21VydFLVH3TRQUabQu_ym0Zz7PgGX0-kHA/edit?usp=sharing"",""แผน!HG34"")"),8010)</f>
        <v>8010</v>
      </c>
      <c r="J561" s="998">
        <f t="shared" si="247"/>
        <v>8010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88224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7244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8071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514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3000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252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IFERROR(__xludf.DUMMYFUNCTION("IMPORTRANGE(""https://docs.google.com/spreadsheets/d/1QqKyyYR6Q21VydFLVH3TRQUabQu_ym0Zz7PgGX0-kHA/edit?usp=sharing"",""แผน!HH34"")"),99295)</f>
        <v>99295</v>
      </c>
      <c r="J568" s="999">
        <f t="shared" ref="J568:J569" si="248">J570+J572+J574</f>
        <v>29682</v>
      </c>
      <c r="K568" s="1142">
        <f t="shared" ref="K568:K569" ca="1" si="249">IF(I568&gt;0,J568*100/I568,0)</f>
        <v>29.892743844100913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IFERROR(__xludf.DUMMYFUNCTION("IMPORTRANGE(""https://docs.google.com/spreadsheets/d/1QqKyyYR6Q21VydFLVH3TRQUabQu_ym0Zz7PgGX0-kHA/edit?usp=sharing"",""แผน!HG34"")"),8010)</f>
        <v>8010</v>
      </c>
      <c r="J569" s="999">
        <f t="shared" si="248"/>
        <v>2506</v>
      </c>
      <c r="K569" s="1142">
        <f t="shared" ca="1" si="249"/>
        <v>31.28589263420724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27758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2341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1334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104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590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61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IFERROR(__xludf.DUMMYFUNCTION("IMPORTRANGE(""https://docs.google.com/spreadsheets/d/1QqKyyYR6Q21VydFLVH3TRQUabQu_ym0Zz7PgGX0-kHA/edit?usp=sharing"",""แผน!HH34"")"),99295)</f>
        <v>99295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IFERROR(__xludf.DUMMYFUNCTION("IMPORTRANGE(""https://docs.google.com/spreadsheets/d/1QqKyyYR6Q21VydFLVH3TRQUabQu_ym0Zz7PgGX0-kHA/edit?usp=sharing"",""แผน!HG34"")"),8010)</f>
        <v>8010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8081.89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IFERROR(__xludf.DUMMYFUNCTION("IMPORTRANGE(""https://docs.google.com/spreadsheets/d/1QqKyyYR6Q21VydFLVH3TRQUabQu_ym0Zz7PgGX0-kHA/edit?usp=sharing"",""แผน!HJ34"")"),8081.89)</f>
        <v>8081.89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IFERROR(__xludf.DUMMYFUNCTION("IMPORTRANGE(""https://docs.google.com/spreadsheets/d/1QqKyyYR6Q21VydFLVH3TRQUabQu_ym0Zz7PgGX0-kHA/edit?usp=sharing"",""แผน!HI34"")"),699)</f>
        <v>699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IFERROR(__xludf.DUMMYFUNCTION("IMPORTRANGE(""https://docs.google.com/spreadsheets/d/1QqKyyYR6Q21VydFLVH3TRQUabQu_ym0Zz7PgGX0-kHA/edit?usp=sharing"",""แผน!HL34"")"),121)</f>
        <v>121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IFERROR(__xludf.DUMMYFUNCTION("IMPORTRANGE(""https://docs.google.com/spreadsheets/d/1QqKyyYR6Q21VydFLVH3TRQUabQu_ym0Zz7PgGX0-kHA/edit?usp=sharing"",""แผน!HK34"")"),6)</f>
        <v>6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1200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1142370</v>
      </c>
      <c r="M629" s="1000">
        <f t="shared" si="263"/>
        <v>0</v>
      </c>
      <c r="N629" s="1000">
        <f t="shared" si="263"/>
        <v>460575</v>
      </c>
      <c r="O629" s="1000">
        <f t="shared" ref="O629:O634" ca="1" si="264">IF(L629&gt;0,N629*100/L629,0)</f>
        <v>40.317497833451512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1142370</v>
      </c>
      <c r="M631" s="870">
        <f t="shared" si="266"/>
        <v>0</v>
      </c>
      <c r="N631" s="870">
        <f t="shared" si="266"/>
        <v>460575</v>
      </c>
      <c r="O631" s="870">
        <f t="shared" ca="1" si="264"/>
        <v>40.317497833451512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1142370</v>
      </c>
      <c r="M632" s="864">
        <f t="shared" si="267"/>
        <v>0</v>
      </c>
      <c r="N632" s="864">
        <f t="shared" si="267"/>
        <v>460575</v>
      </c>
      <c r="O632" s="864">
        <f t="shared" ca="1" si="264"/>
        <v>40.317497833451512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IFERROR(__xludf.DUMMYFUNCTION("IMPORTRANGE(""https://docs.google.com/spreadsheets/d/1QqKyyYR6Q21VydFLVH3TRQUabQu_ym0Zz7PgGX0-kHA/edit?usp=sharing"",""แผน!HN34"")"),1142370)</f>
        <v>1142370</v>
      </c>
      <c r="M634" s="870">
        <v>0</v>
      </c>
      <c r="N634" s="870">
        <f>N635+N636+N637+N638</f>
        <v>460575</v>
      </c>
      <c r="O634" s="870">
        <f t="shared" ca="1" si="264"/>
        <v>40.317497833451512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45000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f>26000+25580+26000+13000</f>
        <v>90580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57760+46260+11040+40620-2000+172515-1200</f>
        <v>324995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IFERROR(__xludf.DUMMYFUNCTION("IMPORTRANGE(""https://docs.google.com/spreadsheets/d/1QqKyyYR6Q21VydFLVH3TRQUabQu_ym0Zz7PgGX0-kHA/edit?usp=sharing"",""แผน!HQ34"")"),0)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IFERROR(__xludf.DUMMYFUNCTION("IMPORTRANGE(""https://docs.google.com/spreadsheets/d/1QqKyyYR6Q21VydFLVH3TRQUabQu_ym0Zz7PgGX0-kHA/edit?usp=sharing"",""แผน!HR34"")"),0)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IFERROR(__xludf.DUMMYFUNCTION("IMPORTRANGE(""https://docs.google.com/spreadsheets/d/1QqKyyYR6Q21VydFLVH3TRQUabQu_ym0Zz7PgGX0-kHA/edit?usp=sharing"",""แผน!HR34"")"),0)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IFERROR(__xludf.DUMMYFUNCTION("IMPORTRANGE(""https://docs.google.com/spreadsheets/d/1XWAQStnk-4SwqDmLtmXYiTMKHgktTP8We1SCoS47DrQ/edit?usp=sharing"",""จัดที่ดิน!AS34"")"),1028)</f>
        <v>1028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IFERROR(__xludf.DUMMYFUNCTION("IMPORTRANGE(""https://docs.google.com/spreadsheets/d/1XWAQStnk-4SwqDmLtmXYiTMKHgktTP8We1SCoS47DrQ/edit?usp=sharing"",""จัดที่ดิน!AT34"")"),609.96)</f>
        <v>609.96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IFERROR(__xludf.DUMMYFUNCTION("IMPORTRANGE(""https://docs.google.com/spreadsheets/d/1QqKyyYR6Q21VydFLVH3TRQUabQu_ym0Zz7PgGX0-kHA/edit?usp=sharing"",""แผน!HS34"")"),1200)</f>
        <v>1200</v>
      </c>
      <c r="J647" s="863">
        <f ca="1">IFERROR(__xludf.DUMMYFUNCTION("IMPORTRANGE(""https://docs.google.com/spreadsheets/d/1XWAQStnk-4SwqDmLtmXYiTMKHgktTP8We1SCoS47DrQ/edit?usp=sharing"",""จัดที่ดิน!AU34"")"),432)</f>
        <v>432</v>
      </c>
      <c r="K647" s="978">
        <f t="shared" ca="1" si="271"/>
        <v>36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IFERROR(__xludf.DUMMYFUNCTION("IMPORTRANGE(""https://docs.google.com/spreadsheets/d/1XWAQStnk-4SwqDmLtmXYiTMKHgktTP8We1SCoS47DrQ/edit?usp=sharing"",""จัดที่ดิน!AV34"")"),233.41)</f>
        <v>233.41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IFERROR(__xludf.DUMMYFUNCTION("IMPORTRANGE(""https://docs.google.com/spreadsheets/d/1QqKyyYR6Q21VydFLVH3TRQUabQu_ym0Zz7PgGX0-kHA/edit?usp=sharing"",""แผน!HS34"")"),1200)</f>
        <v>1200</v>
      </c>
      <c r="J649" s="863">
        <f ca="1">IFERROR(__xludf.DUMMYFUNCTION("IMPORTRANGE(""https://docs.google.com/spreadsheets/d/1XWAQStnk-4SwqDmLtmXYiTMKHgktTP8We1SCoS47DrQ/edit?usp=sharing"",""จัดที่ดิน!AW34"")"),247)</f>
        <v>247</v>
      </c>
      <c r="K649" s="978">
        <f t="shared" ca="1" si="271"/>
        <v>20.583333333333332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IFERROR(__xludf.DUMMYFUNCTION("IMPORTRANGE(""https://docs.google.com/spreadsheets/d/1XWAQStnk-4SwqDmLtmXYiTMKHgktTP8We1SCoS47DrQ/edit?usp=sharing"",""จัดที่ดิน!AX34"")"),138.78)</f>
        <v>138.78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IFERROR(__xludf.DUMMYFUNCTION("IMPORTRANGE(""https://docs.google.com/spreadsheets/d/1QqKyyYR6Q21VydFLVH3TRQUabQu_ym0Zz7PgGX0-kHA/edit?usp=sharing"",""แผน!HS34"")"),1200)</f>
        <v>1200</v>
      </c>
      <c r="J651" s="863">
        <f ca="1">IFERROR(__xludf.DUMMYFUNCTION("IMPORTRANGE(""https://docs.google.com/spreadsheets/d/1XWAQStnk-4SwqDmLtmXYiTMKHgktTP8We1SCoS47DrQ/edit?usp=sharing"",""จัดที่ดิน!AY34"")"),0)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IFERROR(__xludf.DUMMYFUNCTION("IMPORTRANGE(""https://docs.google.com/spreadsheets/d/1XWAQStnk-4SwqDmLtmXYiTMKHgktTP8We1SCoS47DrQ/edit?usp=sharing"",""จัดที่ดิน!AZ34"")"),0)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3880</v>
      </c>
      <c r="O655" s="1000">
        <f t="shared" ref="O655:O660" ca="1" si="274">IF(L655&gt;0,N655*100/L655,0)</f>
        <v>24.871794871794872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3880</v>
      </c>
      <c r="O657" s="870">
        <f t="shared" ca="1" si="274"/>
        <v>24.871794871794872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3880</v>
      </c>
      <c r="O658" s="864">
        <f t="shared" ca="1" si="274"/>
        <v>24.871794871794872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IFERROR(__xludf.DUMMYFUNCTION("IMPORTRANGE(""https://docs.google.com/spreadsheets/d/1QqKyyYR6Q21VydFLVH3TRQUabQu_ym0Zz7PgGX0-kHA/edit?usp=sharing"",""แผน!HV34"")"),15600)</f>
        <v>15600</v>
      </c>
      <c r="M660" s="870">
        <v>0</v>
      </c>
      <c r="N660" s="870">
        <f>N661+N662+N663+N664</f>
        <v>3880</v>
      </c>
      <c r="O660" s="870">
        <f t="shared" ca="1" si="274"/>
        <v>24.871794871794872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f>2520+1360</f>
        <v>3880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IFERROR(__xludf.DUMMYFUNCTION("IMPORTRANGE(""https://docs.google.com/spreadsheets/d/1QqKyyYR6Q21VydFLVH3TRQUabQu_ym0Zz7PgGX0-kHA/edit?usp=sharing"",""แผน!IA34"")"),100)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IFERROR(__xludf.DUMMYFUNCTION("IMPORTRANGE(""https://docs.google.com/spreadsheets/d/1QqKyyYR6Q21VydFLVH3TRQUabQu_ym0Zz7PgGX0-kHA/edit?usp=sharing"",""แผน!HZ34"")"),6)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IFERROR(__xludf.DUMMYFUNCTION("IMPORTRANGE(""https://docs.google.com/spreadsheets/d/1QqKyyYR6Q21VydFLVH3TRQUabQu_ym0Zz7PgGX0-kHA/edit?usp=sharing"",""แผน!HZ34"")"),6)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512</v>
      </c>
      <c r="K672" s="864">
        <f t="shared" ref="K672:K675" ca="1" si="281">IF(I$669&gt;0,J672*100/I$669,0)</f>
        <v>512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IFERROR(__xludf.DUMMYFUNCTION("IMPORTRANGE(""https://docs.google.com/spreadsheets/d/1QqKyyYR6Q21VydFLVH3TRQUabQu_ym0Zz7PgGX0-kHA/edit?usp=sharing"",""แผน!IB34"")"),0)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57400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57400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57400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IFERROR(__xludf.DUMMYFUNCTION("IMPORTRANGE(""https://docs.google.com/spreadsheets/d/1QqKyyYR6Q21VydFLVH3TRQUabQu_ym0Zz7PgGX0-kHA/edit?usp=sharing"",""แผน!HW34"")"),57400)</f>
        <v>57400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IFERROR(__xludf.DUMMYFUNCTION("IMPORTRANGE(""https://docs.google.com/spreadsheets/d/1QqKyyYR6Q21VydFLVH3TRQUabQu_ym0Zz7PgGX0-kHA/edit?usp=sharing"",""แผน!IC34"")"),0)</f>
        <v>0</v>
      </c>
      <c r="J699" s="863">
        <f ca="1">IFERROR(__xludf.DUMMYFUNCTION("IMPORTRANGE(""https://docs.google.com/spreadsheets/d/1XWAQStnk-4SwqDmLtmXYiTMKHgktTP8We1SCoS47DrQ/edit?usp=sharing"",""จัดที่ดิน!BB34"")"),0)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IFERROR(__xludf.DUMMYFUNCTION("IMPORTRANGE(""https://docs.google.com/spreadsheets/d/1QqKyyYR6Q21VydFLVH3TRQUabQu_ym0Zz7PgGX0-kHA/edit?usp=sharing"",""แผน!ID34"")"),23)</f>
        <v>23</v>
      </c>
      <c r="J700" s="863">
        <f ca="1">IFERROR(__xludf.DUMMYFUNCTION("IMPORTRANGE(""https://docs.google.com/spreadsheets/d/1XWAQStnk-4SwqDmLtmXYiTMKHgktTP8We1SCoS47DrQ/edit?usp=sharing"",""จัดที่ดิน!BD34"")"),7)</f>
        <v>7</v>
      </c>
      <c r="K700" s="864">
        <f t="shared" ca="1" si="290"/>
        <v>30.434782608695652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IFERROR(__xludf.DUMMYFUNCTION("IMPORTRANGE(""https://docs.google.com/spreadsheets/d/1QqKyyYR6Q21VydFLVH3TRQUabQu_ym0Zz7PgGX0-kHA/edit?usp=sharing"",""แผน!IE34"")"),1368)</f>
        <v>1368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IFERROR(__xludf.DUMMYFUNCTION("IMPORTRANGE(""https://docs.google.com/spreadsheets/d/1QqKyyYR6Q21VydFLVH3TRQUabQu_ym0Zz7PgGX0-kHA/edit?usp=sharing"",""แผน!IF34"")"),36)</f>
        <v>36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IFERROR(__xludf.DUMMYFUNCTION("IMPORTRANGE(""https://docs.google.com/spreadsheets/d/1QqKyyYR6Q21VydFLVH3TRQUabQu_ym0Zz7PgGX0-kHA/edit?usp=sharing"",""แผน!IG34"")"),1332)</f>
        <v>1332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IFERROR(__xludf.DUMMYFUNCTION("IMPORTRANGE(""https://docs.google.com/spreadsheets/d/1QqKyyYR6Q21VydFLVH3TRQUabQu_ym0Zz7PgGX0-kHA/edit?usp=sharing"",""แผน!IH34"")"),84)</f>
        <v>84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IFERROR(__xludf.DUMMYFUNCTION("IMPORTRANGE(""https://docs.google.com/spreadsheets/d/1XWAQStnk-4SwqDmLtmXYiTMKHgktTP8We1SCoS47DrQ/edit?usp=sharing"",""จัดที่ดิน!BF34"")"),0)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IFERROR(__xludf.DUMMYFUNCTION("IMPORTRANGE(""https://docs.google.com/spreadsheets/d/1XWAQStnk-4SwqDmLtmXYiTMKHgktTP8We1SCoS47DrQ/edit?usp=sharing"",""จัดที่ดิน!BG34"")"),0)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IFERROR(__xludf.DUMMYFUNCTION("IMPORTRANGE(""https://docs.google.com/spreadsheets/d/1QqKyyYR6Q21VydFLVH3TRQUabQu_ym0Zz7PgGX0-kHA/edit?usp=sharing"",""แผน!II34"")"),0)</f>
        <v>0</v>
      </c>
      <c r="J720" s="863">
        <f ca="1">IFERROR(__xludf.DUMMYFUNCTION("IMPORTRANGE(""https://docs.google.com/spreadsheets/d/1XWAQStnk-4SwqDmLtmXYiTMKHgktTP8We1SCoS47DrQ/edit?usp=sharing"",""จัดที่ดิน!BH34"")"),0)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IFERROR(__xludf.DUMMYFUNCTION("IMPORTRANGE(""https://docs.google.com/spreadsheets/d/1QqKyyYR6Q21VydFLVH3TRQUabQu_ym0Zz7PgGX0-kHA/edit?usp=sharing"",""แผน!IJ34"")"),45)</f>
        <v>45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IFERROR(__xludf.DUMMYFUNCTION("IMPORTRANGE(""https://docs.google.com/spreadsheets/d/1QqKyyYR6Q21VydFLVH3TRQUabQu_ym0Zz7PgGX0-kHA/edit?usp=sharing"",""แผน!IK34"")"),540)</f>
        <v>540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IFERROR(__xludf.DUMMYFUNCTION("IMPORTRANGE(""https://docs.google.com/spreadsheets/d/1QqKyyYR6Q21VydFLVH3TRQUabQu_ym0Zz7PgGX0-kHA/edit?usp=sharing"",""แผน!IL34"")"),45)</f>
        <v>45</v>
      </c>
      <c r="J723" s="863">
        <f ca="1">IFERROR(__xludf.DUMMYFUNCTION("IMPORTRANGE(""https://docs.google.com/spreadsheets/d/1XWAQStnk-4SwqDmLtmXYiTMKHgktTP8We1SCoS47DrQ/edit?usp=sharing"",""จัดที่ดิน!BM34"")"),0)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IFERROR(__xludf.DUMMYFUNCTION("IMPORTRANGE(""https://docs.google.com/spreadsheets/d/1XWAQStnk-4SwqDmLtmXYiTMKHgktTP8We1SCoS47DrQ/edit?usp=sharing"",""จัดที่ดิน!BN34"")"),0)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IFERROR(__xludf.DUMMYFUNCTION("IMPORTRANGE(""https://docs.google.com/spreadsheets/d/1QqKyyYR6Q21VydFLVH3TRQUabQu_ym0Zz7PgGX0-kHA/edit?usp=sharing"",""แผน!IM34"")"),540)</f>
        <v>540</v>
      </c>
      <c r="J725" s="863">
        <f ca="1">IFERROR(__xludf.DUMMYFUNCTION("IMPORTRANGE(""https://docs.google.com/spreadsheets/d/1XWAQStnk-4SwqDmLtmXYiTMKHgktTP8We1SCoS47DrQ/edit?usp=sharing"",""จัดที่ดิน!BO34"")"),0)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IFERROR(__xludf.DUMMYFUNCTION("IMPORTRANGE(""https://docs.google.com/spreadsheets/d/1QqKyyYR6Q21VydFLVH3TRQUabQu_ym0Zz7PgGX0-kHA/edit?usp=sharing"",""แผน!IN34"")"),0)</f>
        <v>0</v>
      </c>
      <c r="J726" s="863">
        <f ca="1">IFERROR(__xludf.DUMMYFUNCTION("IMPORTRANGE(""https://docs.google.com/spreadsheets/d/1XWAQStnk-4SwqDmLtmXYiTMKHgktTP8We1SCoS47DrQ/edit?usp=sharing"",""จัดที่ดิน!BR34"")"),0)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IFERROR(__xludf.DUMMYFUNCTION("IMPORTRANGE(""https://docs.google.com/spreadsheets/d/1XWAQStnk-4SwqDmLtmXYiTMKHgktTP8We1SCoS47DrQ/edit?usp=sharing"",""จัดที่ดิน!BS34"")"),0)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IFERROR(__xludf.DUMMYFUNCTION("IMPORTRANGE(""https://docs.google.com/spreadsheets/d/1QqKyyYR6Q21VydFLVH3TRQUabQu_ym0Zz7PgGX0-kHA/edit?usp=sharing"",""แผน!IO34"")"),0)</f>
        <v>0</v>
      </c>
      <c r="J728" s="863">
        <f ca="1">IFERROR(__xludf.DUMMYFUNCTION("IMPORTRANGE(""https://docs.google.com/spreadsheets/d/1XWAQStnk-4SwqDmLtmXYiTMKHgktTP8We1SCoS47DrQ/edit?usp=sharing"",""จัดที่ดิน!BT34"")"),0)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IFERROR(__xludf.DUMMYFUNCTION("IMPORTRANGE(""https://docs.google.com/spreadsheets/d/1QqKyyYR6Q21VydFLVH3TRQUabQu_ym0Zz7PgGX0-kHA/edit?usp=sharing"",""แผน!IP34"")"),192)</f>
        <v>192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IFERROR(__xludf.DUMMYFUNCTION("IMPORTRANGE(""https://docs.google.com/spreadsheets/d/1QqKyyYR6Q21VydFLVH3TRQUabQu_ym0Zz7PgGX0-kHA/edit?usp=sharing"",""แผน!JJ34"")"),0)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IFERROR(__xludf.DUMMYFUNCTION("IMPORTRANGE(""https://docs.google.com/spreadsheets/d/1QqKyyYR6Q21VydFLVH3TRQUabQu_ym0Zz7PgGX0-kHA/edit?usp=sharing"",""แผน!JN34"")"),0)</f>
        <v>0</v>
      </c>
      <c r="J800" s="977">
        <f ca="1">IFERROR(__xludf.DUMMYFUNCTION("IMPORTRANGE(""https://docs.google.com/spreadsheets/d/1MaWodYyGHDf7siQLGxnXhG4mBNTNIuy296niS2xXulU/edit?usp=sharing"",""RTK!H34"")"),0)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IFERROR(__xludf.DUMMYFUNCTION("IMPORTRANGE(""https://docs.google.com/spreadsheets/d/1MaWodYyGHDf7siQLGxnXhG4mBNTNIuy296niS2xXulU/edit?usp=sharing"",""RTK!I34"")"),0)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863">
        <f ca="1">IFERROR(__xludf.DUMMYFUNCTION("IMPORTRANGE(""https://docs.google.com/spreadsheets/d/19vJNZY_5yjcGF2XGBMNZRCAIB0Kwfpjp8YEOfu-bneM/edit?usp=sharing"",""งานกองทุน!F34"")"),1670000)</f>
        <v>1670000</v>
      </c>
      <c r="K821" s="864">
        <f t="shared" ref="K821:K828" ca="1" si="335">IF(I821&gt;0,J821*100/I821,0)</f>
        <v>52.380923763373275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IFERROR(__xludf.DUMMYFUNCTION("IMPORTRANGE(""https://docs.google.com/spreadsheets/d/19vJNZY_5yjcGF2XGBMNZRCAIB0Kwfpjp8YEOfu-bneM/edit?usp=sharing"",""งานกองทุน!C34"")"),96)</f>
        <v>96</v>
      </c>
      <c r="J822" s="863">
        <f ca="1">IFERROR(__xludf.DUMMYFUNCTION("IMPORTRANGE(""https://docs.google.com/spreadsheets/d/19vJNZY_5yjcGF2XGBMNZRCAIB0Kwfpjp8YEOfu-bneM/edit?usp=sharing"",""งานกองทุน!E34"")"),51)</f>
        <v>51</v>
      </c>
      <c r="K822" s="864">
        <f t="shared" ca="1" si="335"/>
        <v>53.125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863">
        <f ca="1">IFERROR(__xludf.DUMMYFUNCTION("IMPORTRANGE(""https://docs.google.com/spreadsheets/d/19vJNZY_5yjcGF2XGBMNZRCAIB0Kwfpjp8YEOfu-bneM/edit?usp=sharing"",""งานกองทุน!K34"")"),347302.62)</f>
        <v>347302.62</v>
      </c>
      <c r="K823" s="864">
        <f t="shared" ca="1" si="335"/>
        <v>4.3181975417933929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IFERROR(__xludf.DUMMYFUNCTION("IMPORTRANGE(""https://docs.google.com/spreadsheets/d/19vJNZY_5yjcGF2XGBMNZRCAIB0Kwfpjp8YEOfu-bneM/edit?usp=sharing"",""งานกองทุน!H34"")"),335)</f>
        <v>335</v>
      </c>
      <c r="J824" s="863">
        <f ca="1">IFERROR(__xludf.DUMMYFUNCTION("IMPORTRANGE(""https://docs.google.com/spreadsheets/d/19vJNZY_5yjcGF2XGBMNZRCAIB0Kwfpjp8YEOfu-bneM/edit?usp=sharing"",""งานกองทุน!J34"")"),100)</f>
        <v>100</v>
      </c>
      <c r="K824" s="864">
        <f t="shared" ca="1" si="335"/>
        <v>29.850746268656717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863">
        <f ca="1">IFERROR(__xludf.DUMMYFUNCTION("IMPORTRANGE(""https://docs.google.com/spreadsheets/d/19vJNZY_5yjcGF2XGBMNZRCAIB0Kwfpjp8YEOfu-bneM/edit?usp=sharing"",""งานกองทุน!P34"")"),703212.69)</f>
        <v>703212.69</v>
      </c>
      <c r="K825" s="864">
        <f t="shared" ca="1" si="335"/>
        <v>93.01122903828005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IFERROR(__xludf.DUMMYFUNCTION("IMPORTRANGE(""https://docs.google.com/spreadsheets/d/19vJNZY_5yjcGF2XGBMNZRCAIB0Kwfpjp8YEOfu-bneM/edit?usp=sharing"",""งานกองทุน!M34"")"),67)</f>
        <v>67</v>
      </c>
      <c r="J826" s="863">
        <f ca="1">IFERROR(__xludf.DUMMYFUNCTION("IMPORTRANGE(""https://docs.google.com/spreadsheets/d/19vJNZY_5yjcGF2XGBMNZRCAIB0Kwfpjp8YEOfu-bneM/edit?usp=sharing"",""งานกองทุน!O34"")"),17)</f>
        <v>17</v>
      </c>
      <c r="K826" s="864">
        <f t="shared" ca="1" si="335"/>
        <v>25.373134328358208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IFERROR(__xludf.DUMMYFUNCTION("IMPORTRANGE(""https://docs.google.com/spreadsheets/d/19vJNZY_5yjcGF2XGBMNZRCAIB0Kwfpjp8YEOfu-bneM/edit?usp=sharing"",""งานกองทุน!S34"")"),3930000)</f>
        <v>3930000</v>
      </c>
      <c r="J827" s="863">
        <f ca="1">IFERROR(__xludf.DUMMYFUNCTION("IMPORTRANGE(""https://docs.google.com/spreadsheets/d/19vJNZY_5yjcGF2XGBMNZRCAIB0Kwfpjp8YEOfu-bneM/edit?usp=sharing"",""งานกองทุน!U34"")"),0)</f>
        <v>0</v>
      </c>
      <c r="K827" s="864">
        <f t="shared" ca="1" si="335"/>
        <v>0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IFERROR(__xludf.DUMMYFUNCTION("IMPORTRANGE(""https://docs.google.com/spreadsheets/d/19vJNZY_5yjcGF2XGBMNZRCAIB0Kwfpjp8YEOfu-bneM/edit?usp=sharing"",""งานกองทุน!R34"")"),157)</f>
        <v>157</v>
      </c>
      <c r="J828" s="1117">
        <f ca="1">IFERROR(__xludf.DUMMYFUNCTION("IMPORTRANGE(""https://docs.google.com/spreadsheets/d/19vJNZY_5yjcGF2XGBMNZRCAIB0Kwfpjp8YEOfu-bneM/edit?usp=sharing"",""งานกองทุน!T34"")"),0)</f>
        <v>0</v>
      </c>
      <c r="K828" s="1215">
        <f t="shared" ca="1" si="335"/>
        <v>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4B48-C6D1-4A33-BE0A-5AD0E48AB229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339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5403919</v>
      </c>
      <c r="M8" s="850">
        <f t="shared" ca="1" si="0"/>
        <v>2731470</v>
      </c>
      <c r="N8" s="850">
        <f t="shared" ca="1" si="0"/>
        <v>1916525.19</v>
      </c>
      <c r="O8" s="850">
        <f t="shared" ref="O8:O16" ca="1" si="1">IF(L8&gt;0,N8*100/L8,0)</f>
        <v>35.465468486851854</v>
      </c>
      <c r="P8" s="850">
        <f t="shared" ref="P8:P16" ca="1" si="2">IF(M8&gt;0,N8*100/M8,0)</f>
        <v>70.164606969873361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5403919</v>
      </c>
      <c r="M10" s="857">
        <f t="shared" ca="1" si="3"/>
        <v>2731470</v>
      </c>
      <c r="N10" s="857">
        <f t="shared" ca="1" si="3"/>
        <v>1916525.19</v>
      </c>
      <c r="O10" s="857">
        <f t="shared" ca="1" si="1"/>
        <v>35.465468486851854</v>
      </c>
      <c r="P10" s="857">
        <f t="shared" ca="1" si="2"/>
        <v>70.164606969873361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5228519</v>
      </c>
      <c r="M11" s="864">
        <f t="shared" ca="1" si="4"/>
        <v>2570070</v>
      </c>
      <c r="N11" s="864">
        <f t="shared" ca="1" si="4"/>
        <v>1755125.19</v>
      </c>
      <c r="O11" s="864">
        <f t="shared" ca="1" si="1"/>
        <v>33.568304714968043</v>
      </c>
      <c r="P11" s="864">
        <f t="shared" ca="1" si="2"/>
        <v>68.290948884660736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5228519</v>
      </c>
      <c r="M13" s="870">
        <f t="shared" ca="1" si="5"/>
        <v>2570070</v>
      </c>
      <c r="N13" s="870">
        <f t="shared" ca="1" si="5"/>
        <v>1755125.19</v>
      </c>
      <c r="O13" s="870">
        <f t="shared" ca="1" si="1"/>
        <v>33.568304714968043</v>
      </c>
      <c r="P13" s="870">
        <f t="shared" ca="1" si="2"/>
        <v>68.290948884660736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175400</v>
      </c>
      <c r="M14" s="864">
        <f t="shared" ca="1" si="6"/>
        <v>161400</v>
      </c>
      <c r="N14" s="864">
        <f t="shared" ca="1" si="6"/>
        <v>161400</v>
      </c>
      <c r="O14" s="864">
        <f t="shared" ca="1" si="1"/>
        <v>92.018244013683017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175400</v>
      </c>
      <c r="M16" s="876">
        <f t="shared" ca="1" si="7"/>
        <v>161400</v>
      </c>
      <c r="N16" s="876">
        <f t="shared" ca="1" si="7"/>
        <v>161400</v>
      </c>
      <c r="O16" s="876">
        <f t="shared" ca="1" si="1"/>
        <v>92.018244013683017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3362475</v>
      </c>
      <c r="M18" s="850">
        <f t="shared" ca="1" si="8"/>
        <v>2731470</v>
      </c>
      <c r="N18" s="850">
        <f t="shared" ca="1" si="8"/>
        <v>1372057.47</v>
      </c>
      <c r="O18" s="850">
        <f t="shared" ref="O18:O26" ca="1" si="9">IF(L18&gt;0,N18*100/L18,0)</f>
        <v>40.804986505475874</v>
      </c>
      <c r="P18" s="850">
        <f t="shared" ref="P18:P26" ca="1" si="10">IF(M18&gt;0,N18*100/M18,0)</f>
        <v>50.231467671253938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3362475</v>
      </c>
      <c r="M20" s="857">
        <f t="shared" ca="1" si="11"/>
        <v>2731470</v>
      </c>
      <c r="N20" s="857">
        <f t="shared" ca="1" si="11"/>
        <v>1372057.47</v>
      </c>
      <c r="O20" s="857">
        <f t="shared" ca="1" si="9"/>
        <v>40.804986505475874</v>
      </c>
      <c r="P20" s="857">
        <f t="shared" ca="1" si="10"/>
        <v>50.231467671253938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3187075</v>
      </c>
      <c r="M21" s="864">
        <f t="shared" ca="1" si="12"/>
        <v>2570070</v>
      </c>
      <c r="N21" s="864">
        <f t="shared" ca="1" si="12"/>
        <v>1210657.47</v>
      </c>
      <c r="O21" s="864">
        <f t="shared" ca="1" si="9"/>
        <v>37.986475686954336</v>
      </c>
      <c r="P21" s="864">
        <f t="shared" ca="1" si="10"/>
        <v>47.106011509414138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3187075</v>
      </c>
      <c r="M23" s="870">
        <f t="shared" ca="1" si="13"/>
        <v>2570070</v>
      </c>
      <c r="N23" s="870">
        <f t="shared" ca="1" si="13"/>
        <v>1210657.47</v>
      </c>
      <c r="O23" s="870">
        <f t="shared" ca="1" si="9"/>
        <v>37.986475686954336</v>
      </c>
      <c r="P23" s="870">
        <f t="shared" ca="1" si="10"/>
        <v>47.106011509414138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175400</v>
      </c>
      <c r="M24" s="864">
        <f t="shared" ca="1" si="14"/>
        <v>161400</v>
      </c>
      <c r="N24" s="864">
        <f t="shared" ca="1" si="14"/>
        <v>161400</v>
      </c>
      <c r="O24" s="864">
        <f t="shared" ca="1" si="9"/>
        <v>92.018244013683017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175400</v>
      </c>
      <c r="M26" s="876">
        <f t="shared" ca="1" si="15"/>
        <v>161400</v>
      </c>
      <c r="N26" s="876">
        <f t="shared" ca="1" si="15"/>
        <v>161400</v>
      </c>
      <c r="O26" s="876">
        <f t="shared" ca="1" si="9"/>
        <v>92.018244013683017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2041444</v>
      </c>
      <c r="M28" s="850">
        <f t="shared" si="16"/>
        <v>0</v>
      </c>
      <c r="N28" s="850">
        <f t="shared" si="16"/>
        <v>544467.72</v>
      </c>
      <c r="O28" s="850">
        <f t="shared" ref="O28:O37" ca="1" si="17">IF(L28&gt;0,N28*100/L28,0)</f>
        <v>26.670715434760886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2041444</v>
      </c>
      <c r="M30" s="857">
        <f t="shared" si="19"/>
        <v>0</v>
      </c>
      <c r="N30" s="857">
        <f t="shared" si="19"/>
        <v>544467.72</v>
      </c>
      <c r="O30" s="857">
        <f t="shared" ca="1" si="17"/>
        <v>26.670715434760886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2041444</v>
      </c>
      <c r="M31" s="864">
        <f t="shared" si="20"/>
        <v>0</v>
      </c>
      <c r="N31" s="864">
        <f t="shared" si="20"/>
        <v>544467.72</v>
      </c>
      <c r="O31" s="864">
        <f t="shared" ca="1" si="17"/>
        <v>26.670715434760886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2041444</v>
      </c>
      <c r="M33" s="870">
        <f t="shared" si="21"/>
        <v>0</v>
      </c>
      <c r="N33" s="870">
        <f t="shared" si="21"/>
        <v>544467.72</v>
      </c>
      <c r="O33" s="870">
        <f t="shared" ca="1" si="17"/>
        <v>26.670715434760886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3362475</v>
      </c>
      <c r="M37" s="883">
        <f t="shared" ca="1" si="24"/>
        <v>2731470</v>
      </c>
      <c r="N37" s="883">
        <f t="shared" ca="1" si="24"/>
        <v>1372057.47</v>
      </c>
      <c r="O37" s="883">
        <f t="shared" ca="1" si="17"/>
        <v>40.804986505475874</v>
      </c>
      <c r="P37" s="883">
        <f t="shared" ca="1" si="18"/>
        <v>50.231467671253938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432900</v>
      </c>
      <c r="M41" s="908">
        <f t="shared" ca="1" si="25"/>
        <v>434730</v>
      </c>
      <c r="N41" s="908">
        <f t="shared" ca="1" si="25"/>
        <v>187540</v>
      </c>
      <c r="O41" s="908">
        <f t="shared" ref="O41:O49" ca="1" si="26">IF(L41&gt;0,N41*100/L41,0)</f>
        <v>43.321783321783322</v>
      </c>
      <c r="P41" s="908">
        <f t="shared" ref="P41:P49" ca="1" si="27">IF(M41&gt;0,N41*100/M41,0)</f>
        <v>43.139419869804243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432900</v>
      </c>
      <c r="M43" s="914">
        <f t="shared" ca="1" si="28"/>
        <v>434730</v>
      </c>
      <c r="N43" s="914">
        <f t="shared" ca="1" si="28"/>
        <v>187540</v>
      </c>
      <c r="O43" s="914">
        <f t="shared" ca="1" si="26"/>
        <v>43.321783321783322</v>
      </c>
      <c r="P43" s="914">
        <f t="shared" ca="1" si="27"/>
        <v>43.139419869804243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432900</v>
      </c>
      <c r="M44" s="864">
        <f t="shared" ca="1" si="29"/>
        <v>434730</v>
      </c>
      <c r="N44" s="864">
        <f t="shared" ca="1" si="29"/>
        <v>187540</v>
      </c>
      <c r="O44" s="864">
        <f t="shared" ca="1" si="26"/>
        <v>43.321783321783322</v>
      </c>
      <c r="P44" s="864">
        <f t="shared" ca="1" si="27"/>
        <v>43.139419869804243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IFERROR(__xludf.DUMMYFUNCTION("IMPORTRANGE(""https://docs.google.com/spreadsheets/d/1MeEWN-I1oV_STSDYn1IFDPWt_1FKiwhDph83XaGc0o0/edit?usp=sharing"",""งบพรบ!M35"")"),432900)</f>
        <v>432900</v>
      </c>
      <c r="M46" s="870">
        <f ca="1">IFERROR(__xludf.DUMMYFUNCTION("IMPORTRANGE(""https://docs.google.com/spreadsheets/d/1MeEWN-I1oV_STSDYn1IFDPWt_1FKiwhDph83XaGc0o0/edit?usp=sharing"",""งบพรบ!R35"")"),434730)</f>
        <v>434730</v>
      </c>
      <c r="N46" s="870">
        <f ca="1">IFERROR(__xludf.DUMMYFUNCTION("IMPORTRANGE(""https://docs.google.com/spreadsheets/d/1MeEWN-I1oV_STSDYn1IFDPWt_1FKiwhDph83XaGc0o0/edit?usp=sharing"",""งบพรบ!T35"")"),187540)</f>
        <v>187540</v>
      </c>
      <c r="O46" s="870">
        <f t="shared" ca="1" si="26"/>
        <v>43.321783321783322</v>
      </c>
      <c r="P46" s="870">
        <f t="shared" ca="1" si="27"/>
        <v>43.139419869804243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IFERROR(__xludf.DUMMYFUNCTION("IMPORTRANGE(""https://docs.google.com/spreadsheets/d/1MeEWN-I1oV_STSDYn1IFDPWt_1FKiwhDph83XaGc0o0/edit?usp=sharing"",""งบพรบ!P35"")"),0)</f>
        <v>0</v>
      </c>
      <c r="M49" s="876">
        <f ca="1">IFERROR(__xludf.DUMMYFUNCTION("IMPORTRANGE(""https://docs.google.com/spreadsheets/d/1MeEWN-I1oV_STSDYn1IFDPWt_1FKiwhDph83XaGc0o0/edit?usp=sharing"",""งบพรบ!S35"")"),0)</f>
        <v>0</v>
      </c>
      <c r="N49" s="876">
        <f ca="1">IFERROR(__xludf.DUMMYFUNCTION("IMPORTRANGE(""https://docs.google.com/spreadsheets/d/1MeEWN-I1oV_STSDYn1IFDPWt_1FKiwhDph83XaGc0o0/edit?usp=sharing"",""งบพรบ!U35"")"),0)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673900</v>
      </c>
      <c r="M53" s="936">
        <f t="shared" ca="1" si="31"/>
        <v>505575</v>
      </c>
      <c r="N53" s="936">
        <f t="shared" ca="1" si="31"/>
        <v>288605.90000000002</v>
      </c>
      <c r="O53" s="936">
        <f t="shared" ref="O53:O61" ca="1" si="32">IF(L53&gt;0,N53*100/L53,0)</f>
        <v>42.826220507493701</v>
      </c>
      <c r="P53" s="936">
        <f t="shared" ref="P53:P61" ca="1" si="33">IF(M53&gt;0,N53*100/M53,0)</f>
        <v>57.084685753844639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673900</v>
      </c>
      <c r="M55" s="942">
        <f t="shared" ca="1" si="34"/>
        <v>505575</v>
      </c>
      <c r="N55" s="942">
        <f t="shared" ca="1" si="34"/>
        <v>288605.90000000002</v>
      </c>
      <c r="O55" s="942">
        <f t="shared" ca="1" si="32"/>
        <v>42.826220507493701</v>
      </c>
      <c r="P55" s="942">
        <f t="shared" ca="1" si="33"/>
        <v>57.084685753844639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634100</v>
      </c>
      <c r="M56" s="864">
        <f t="shared" ca="1" si="35"/>
        <v>475575</v>
      </c>
      <c r="N56" s="864">
        <f t="shared" ca="1" si="35"/>
        <v>258605.9</v>
      </c>
      <c r="O56" s="864">
        <f t="shared" ca="1" si="32"/>
        <v>40.78314146033749</v>
      </c>
      <c r="P56" s="864">
        <f t="shared" ca="1" si="33"/>
        <v>54.377521947116648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IFERROR(__xludf.DUMMYFUNCTION("IMPORTRANGE(""https://docs.google.com/spreadsheets/d/1MeEWN-I1oV_STSDYn1IFDPWt_1FKiwhDph83XaGc0o0/edit?usp=sharing"",""งบพรบ!W35"")"),634100)</f>
        <v>634100</v>
      </c>
      <c r="M58" s="870">
        <f ca="1">IFERROR(__xludf.DUMMYFUNCTION("IMPORTRANGE(""https://docs.google.com/spreadsheets/d/1MeEWN-I1oV_STSDYn1IFDPWt_1FKiwhDph83XaGc0o0/edit?usp=sharing"",""งบพรบ!AB35"")"),475575)</f>
        <v>475575</v>
      </c>
      <c r="N58" s="870">
        <f ca="1">IFERROR(__xludf.DUMMYFUNCTION("IMPORTRANGE(""https://docs.google.com/spreadsheets/d/1MeEWN-I1oV_STSDYn1IFDPWt_1FKiwhDph83XaGc0o0/edit?usp=sharing"",""งบพรบ!AD35"")"),258605.9)</f>
        <v>258605.9</v>
      </c>
      <c r="O58" s="870">
        <f t="shared" ca="1" si="32"/>
        <v>40.78314146033749</v>
      </c>
      <c r="P58" s="870">
        <f t="shared" ca="1" si="33"/>
        <v>54.377521947116648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39800</v>
      </c>
      <c r="M59" s="864">
        <f t="shared" ca="1" si="36"/>
        <v>30000</v>
      </c>
      <c r="N59" s="864">
        <f t="shared" ca="1" si="36"/>
        <v>30000</v>
      </c>
      <c r="O59" s="864">
        <f t="shared" ca="1" si="32"/>
        <v>75.37688442211055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IFERROR(__xludf.DUMMYFUNCTION("IMPORTRANGE(""https://docs.google.com/spreadsheets/d/1MeEWN-I1oV_STSDYn1IFDPWt_1FKiwhDph83XaGc0o0/edit?usp=sharing"",""งบพรบ!Z35"")"),39800)</f>
        <v>39800</v>
      </c>
      <c r="M61" s="876">
        <f ca="1">IFERROR(__xludf.DUMMYFUNCTION("IMPORTRANGE(""https://docs.google.com/spreadsheets/d/1MeEWN-I1oV_STSDYn1IFDPWt_1FKiwhDph83XaGc0o0/edit?usp=sharing"",""งบพรบ!AC35"")"),30000)</f>
        <v>30000</v>
      </c>
      <c r="N61" s="876">
        <f ca="1">IFERROR(__xludf.DUMMYFUNCTION("IMPORTRANGE(""https://docs.google.com/spreadsheets/d/1MeEWN-I1oV_STSDYn1IFDPWt_1FKiwhDph83XaGc0o0/edit?usp=sharing"",""งบพรบ!AE35"")"),30000)</f>
        <v>30000</v>
      </c>
      <c r="O61" s="876">
        <f t="shared" ca="1" si="32"/>
        <v>75.37688442211055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50</v>
      </c>
      <c r="J65" s="962">
        <f t="shared" si="37"/>
        <v>50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885100</v>
      </c>
      <c r="M66" s="972">
        <f t="shared" ca="1" si="39"/>
        <v>689510</v>
      </c>
      <c r="N66" s="972">
        <f t="shared" ca="1" si="39"/>
        <v>279150.99</v>
      </c>
      <c r="O66" s="972">
        <f t="shared" ref="O66:O74" ca="1" si="40">IF(L66&gt;0,N66*100/L66,0)</f>
        <v>31.538921025872781</v>
      </c>
      <c r="P66" s="972">
        <f t="shared" ref="P66:P74" ca="1" si="41">IF(M66&gt;0,N66*100/M66,0)</f>
        <v>40.485415730011169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885100</v>
      </c>
      <c r="M68" s="870">
        <f t="shared" ca="1" si="42"/>
        <v>689510</v>
      </c>
      <c r="N68" s="870">
        <f t="shared" ca="1" si="42"/>
        <v>279150.99</v>
      </c>
      <c r="O68" s="870">
        <f t="shared" ca="1" si="40"/>
        <v>31.538921025872781</v>
      </c>
      <c r="P68" s="870">
        <f t="shared" ca="1" si="41"/>
        <v>40.485415730011169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885100</v>
      </c>
      <c r="M69" s="864">
        <f t="shared" ca="1" si="43"/>
        <v>689510</v>
      </c>
      <c r="N69" s="864">
        <f t="shared" ca="1" si="43"/>
        <v>279150.99</v>
      </c>
      <c r="O69" s="864">
        <f t="shared" ca="1" si="40"/>
        <v>31.538921025872781</v>
      </c>
      <c r="P69" s="864">
        <f t="shared" ca="1" si="41"/>
        <v>40.485415730011169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IFERROR(__xludf.DUMMYFUNCTION("IMPORTRANGE(""https://docs.google.com/spreadsheets/d/1MeEWN-I1oV_STSDYn1IFDPWt_1FKiwhDph83XaGc0o0/edit?usp=sharing"",""งบพรบ!AG35"")"),885100)</f>
        <v>885100</v>
      </c>
      <c r="M71" s="870">
        <f ca="1">IFERROR(__xludf.DUMMYFUNCTION("IMPORTRANGE(""https://docs.google.com/spreadsheets/d/1MeEWN-I1oV_STSDYn1IFDPWt_1FKiwhDph83XaGc0o0/edit?usp=sharing"",""งบพรบ!AL35"")"),689510)</f>
        <v>689510</v>
      </c>
      <c r="N71" s="870">
        <f ca="1">IFERROR(__xludf.DUMMYFUNCTION("IMPORTRANGE(""https://docs.google.com/spreadsheets/d/1MeEWN-I1oV_STSDYn1IFDPWt_1FKiwhDph83XaGc0o0/edit?usp=sharing"",""งบพรบ!AN35"")"),279150.99)</f>
        <v>279150.99</v>
      </c>
      <c r="O71" s="870">
        <f t="shared" ca="1" si="40"/>
        <v>31.538921025872781</v>
      </c>
      <c r="P71" s="870">
        <f t="shared" ca="1" si="41"/>
        <v>40.485415730011169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IFERROR(__xludf.DUMMYFUNCTION("IMPORTRANGE(""https://docs.google.com/spreadsheets/d/1MeEWN-I1oV_STSDYn1IFDPWt_1FKiwhDph83XaGc0o0/edit?usp=sharing"",""งบพรบ!AJ35"")"),0)</f>
        <v>0</v>
      </c>
      <c r="M74" s="870">
        <f ca="1">IFERROR(__xludf.DUMMYFUNCTION("IMPORTRANGE(""https://docs.google.com/spreadsheets/d/1MeEWN-I1oV_STSDYn1IFDPWt_1FKiwhDph83XaGc0o0/edit?usp=sharing"",""งบพรบ!AM35"")"),0)</f>
        <v>0</v>
      </c>
      <c r="N74" s="870">
        <f ca="1">IFERROR(__xludf.DUMMYFUNCTION("IMPORTRANGE(""https://docs.google.com/spreadsheets/d/1MeEWN-I1oV_STSDYn1IFDPWt_1FKiwhDph83XaGc0o0/edit?usp=sharing"",""งบพรบ!AO35"")"),0)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50</v>
      </c>
      <c r="J77" s="863">
        <f t="shared" si="45"/>
        <v>50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IFERROR(__xludf.DUMMYFUNCTION("IMPORTRANGE(""https://docs.google.com/spreadsheets/d/1QqKyyYR6Q21VydFLVH3TRQUabQu_ym0Zz7PgGX0-kHA/edit?usp=sharing"",""แผน!H35"")"),0)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IFERROR(__xludf.DUMMYFUNCTION("IMPORTRANGE(""https://docs.google.com/spreadsheets/d/1QqKyyYR6Q21VydFLVH3TRQUabQu_ym0Zz7PgGX0-kHA/edit?usp=sharing"",""แผน!I35"")"),0)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IFERROR(__xludf.DUMMYFUNCTION("IMPORTRANGE(""https://docs.google.com/spreadsheets/d/1QqKyyYR6Q21VydFLVH3TRQUabQu_ym0Zz7PgGX0-kHA/edit?usp=sharing"",""แผน!F35"")"),0)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IFERROR(__xludf.DUMMYFUNCTION("IMPORTRANGE(""https://docs.google.com/spreadsheets/d/1QqKyyYR6Q21VydFLVH3TRQUabQu_ym0Zz7PgGX0-kHA/edit?usp=sharing"",""แผน!G35"")"),0)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IFERROR(__xludf.DUMMYFUNCTION("IMPORTRANGE(""https://docs.google.com/spreadsheets/d/1QqKyyYR6Q21VydFLVH3TRQUabQu_ym0Zz7PgGX0-kHA/edit?usp=sharing"",""แผน!D35"")"),1)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IFERROR(__xludf.DUMMYFUNCTION("IMPORTRANGE(""https://docs.google.com/spreadsheets/d/1QqKyyYR6Q21VydFLVH3TRQUabQu_ym0Zz7PgGX0-kHA/edit?usp=sharing"",""แผน!E35"")"),50)</f>
        <v>50</v>
      </c>
      <c r="J83" s="992">
        <v>50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IFERROR(__xludf.DUMMYFUNCTION("IMPORTRANGE(""https://docs.google.com/spreadsheets/d/1QqKyyYR6Q21VydFLVH3TRQUabQu_ym0Zz7PgGX0-kHA/edit?usp=sharing"",""แผน!J35"")"),1)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30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10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85840</v>
      </c>
      <c r="M88" s="972">
        <f t="shared" ca="1" si="49"/>
        <v>51390</v>
      </c>
      <c r="N88" s="972">
        <f t="shared" ca="1" si="49"/>
        <v>21820</v>
      </c>
      <c r="O88" s="972">
        <f t="shared" ref="O88:O96" ca="1" si="50">IF(L88&gt;0,N88*100/L88,0)</f>
        <v>25.419384902143523</v>
      </c>
      <c r="P88" s="972">
        <f t="shared" ref="P88:P96" ca="1" si="51">IF(M88&gt;0,N88*100/M88,0)</f>
        <v>42.459622494648762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85840</v>
      </c>
      <c r="M90" s="870">
        <f t="shared" ca="1" si="52"/>
        <v>51390</v>
      </c>
      <c r="N90" s="870">
        <f t="shared" ca="1" si="52"/>
        <v>21820</v>
      </c>
      <c r="O90" s="870">
        <f t="shared" ca="1" si="50"/>
        <v>25.419384902143523</v>
      </c>
      <c r="P90" s="870">
        <f t="shared" ca="1" si="51"/>
        <v>42.459622494648762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85840</v>
      </c>
      <c r="M91" s="864">
        <f t="shared" ca="1" si="53"/>
        <v>51390</v>
      </c>
      <c r="N91" s="864">
        <f t="shared" ca="1" si="53"/>
        <v>21820</v>
      </c>
      <c r="O91" s="864">
        <f t="shared" ca="1" si="50"/>
        <v>25.419384902143523</v>
      </c>
      <c r="P91" s="864">
        <f t="shared" ca="1" si="51"/>
        <v>42.459622494648762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IFERROR(__xludf.DUMMYFUNCTION("IMPORTRANGE(""https://docs.google.com/spreadsheets/d/1MeEWN-I1oV_STSDYn1IFDPWt_1FKiwhDph83XaGc0o0/edit?usp=sharing"",""งบพรบ!AQ35"")"),85840)</f>
        <v>85840</v>
      </c>
      <c r="M93" s="870">
        <f ca="1">IFERROR(__xludf.DUMMYFUNCTION("IMPORTRANGE(""https://docs.google.com/spreadsheets/d/1MeEWN-I1oV_STSDYn1IFDPWt_1FKiwhDph83XaGc0o0/edit?usp=sharing"",""งบพรบ!AV35"")"),51390)</f>
        <v>51390</v>
      </c>
      <c r="N93" s="870">
        <f ca="1">IFERROR(__xludf.DUMMYFUNCTION("IMPORTRANGE(""https://docs.google.com/spreadsheets/d/1MeEWN-I1oV_STSDYn1IFDPWt_1FKiwhDph83XaGc0o0/edit?usp=sharing"",""งบพรบ!AX35"")"),21820)</f>
        <v>21820</v>
      </c>
      <c r="O93" s="870">
        <f t="shared" ca="1" si="50"/>
        <v>25.419384902143523</v>
      </c>
      <c r="P93" s="870">
        <f t="shared" ca="1" si="51"/>
        <v>42.459622494648762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IFERROR(__xludf.DUMMYFUNCTION("IMPORTRANGE(""https://docs.google.com/spreadsheets/d/1MeEWN-I1oV_STSDYn1IFDPWt_1FKiwhDph83XaGc0o0/edit?usp=sharing"",""งบพรบ!AT35"")"),0)</f>
        <v>0</v>
      </c>
      <c r="M96" s="870">
        <f ca="1">IFERROR(__xludf.DUMMYFUNCTION("IMPORTRANGE(""https://docs.google.com/spreadsheets/d/1MeEWN-I1oV_STSDYn1IFDPWt_1FKiwhDph83XaGc0o0/edit?usp=sharing"",""งบพรบ!AW35"")"),0)</f>
        <v>0</v>
      </c>
      <c r="N96" s="870">
        <f ca="1">IFERROR(__xludf.DUMMYFUNCTION("IMPORTRANGE(""https://docs.google.com/spreadsheets/d/1MeEWN-I1oV_STSDYn1IFDPWt_1FKiwhDph83XaGc0o0/edit?usp=sharing"",""งบพรบ!AY35"")"),0)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IFERROR(__xludf.DUMMYFUNCTION("IMPORTRANGE(""https://docs.google.com/spreadsheets/d/1QqKyyYR6Q21VydFLVH3TRQUabQu_ym0Zz7PgGX0-kHA/edit?usp=sharing"",""แผน!K35"")"),30)</f>
        <v>30</v>
      </c>
      <c r="J98" s="863">
        <f>J102</f>
        <v>30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IFERROR(__xludf.DUMMYFUNCTION("IMPORTRANGE(""https://docs.google.com/spreadsheets/d/1QqKyyYR6Q21VydFLVH3TRQUabQu_ym0Zz7PgGX0-kHA/edit?usp=sharing"",""แผน!L35"")"),10)</f>
        <v>10</v>
      </c>
      <c r="J99" s="863">
        <f>J104</f>
        <v>10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IFERROR(__xludf.DUMMYFUNCTION("IMPORTRANGE(""https://docs.google.com/spreadsheets/d/1QqKyyYR6Q21VydFLVH3TRQUabQu_ym0Zz7PgGX0-kHA/edit?usp=sharing"",""แผน!M35"")"),2)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IFERROR(__xludf.DUMMYFUNCTION("IMPORTRANGE(""https://docs.google.com/spreadsheets/d/1QqKyyYR6Q21VydFLVH3TRQUabQu_ym0Zz7PgGX0-kHA/edit?usp=sharing"",""แผน!N35"")"),30)</f>
        <v>30</v>
      </c>
      <c r="J102" s="992">
        <v>30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IFERROR(__xludf.DUMMYFUNCTION("IMPORTRANGE(""https://docs.google.com/spreadsheets/d/1QqKyyYR6Q21VydFLVH3TRQUabQu_ym0Zz7PgGX0-kHA/edit?usp=sharing"",""แผน!O35"")"),10)</f>
        <v>10</v>
      </c>
      <c r="J103" s="992">
        <v>10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IFERROR(__xludf.DUMMYFUNCTION("IMPORTRANGE(""https://docs.google.com/spreadsheets/d/1QqKyyYR6Q21VydFLVH3TRQUabQu_ym0Zz7PgGX0-kHA/edit?usp=sharing"",""แผน!O35"")"),10)</f>
        <v>10</v>
      </c>
      <c r="J104" s="992">
        <v>10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IFERROR(__xludf.DUMMYFUNCTION("IMPORTRANGE(""https://docs.google.com/spreadsheets/d/1QqKyyYR6Q21VydFLVH3TRQUabQu_ym0Zz7PgGX0-kHA/edit?usp=sharing"",""แผน!P35"")"),1)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IFERROR(__xludf.DUMMYFUNCTION("IMPORTRANGE(""https://docs.google.com/spreadsheets/d/1QqKyyYR6Q21VydFLVH3TRQUabQu_ym0Zz7PgGX0-kHA/edit?usp=sharing"",""แผน!P35"")"),1)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IFERROR(__xludf.DUMMYFUNCTION("IMPORTRANGE(""https://docs.google.com/spreadsheets/d/1QqKyyYR6Q21VydFLVH3TRQUabQu_ym0Zz7PgGX0-kHA/edit?usp=sharing"",""แผน!Q35"")"),1)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IFERROR(__xludf.DUMMYFUNCTION("IMPORTRANGE(""https://docs.google.com/spreadsheets/d/1QqKyyYR6Q21VydFLVH3TRQUabQu_ym0Zz7PgGX0-kHA/edit?usp=sharing"",""แผน!Q35"")"),1)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IFERROR(__xludf.DUMMYFUNCTION("IMPORTRANGE(""https://docs.google.com/spreadsheets/d/1QqKyyYR6Q21VydFLVH3TRQUabQu_ym0Zz7PgGX0-kHA/edit?usp=sharing"",""แผน!R35"")"),10)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IFERROR(__xludf.DUMMYFUNCTION("IMPORTRANGE(""https://docs.google.com/spreadsheets/d/1QqKyyYR6Q21VydFLVH3TRQUabQu_ym0Zz7PgGX0-kHA/edit?usp=sharing"",""แผน!R35"")"),10)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IFERROR(__xludf.DUMMYFUNCTION("IMPORTRANGE(""https://docs.google.com/spreadsheets/d/1QqKyyYR6Q21VydFLVH3TRQUabQu_ym0Zz7PgGX0-kHA/edit?usp=sharing"",""แผน!R35"")"),10)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IFERROR(__xludf.DUMMYFUNCTION("IMPORTRANGE(""https://docs.google.com/spreadsheets/d/1QqKyyYR6Q21VydFLVH3TRQUabQu_ym0Zz7PgGX0-kHA/edit?usp=sharing"",""แผน!S35"")"),1)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IFERROR(__xludf.DUMMYFUNCTION("IMPORTRANGE(""https://docs.google.com/spreadsheets/d/1QqKyyYR6Q21VydFLVH3TRQUabQu_ym0Zz7PgGX0-kHA/edit?usp=sharing"",""แผน!T35"")"),1)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IFERROR(__xludf.DUMMYFUNCTION("IMPORTRANGE(""https://docs.google.com/spreadsheets/d/1MeEWN-I1oV_STSDYn1IFDPWt_1FKiwhDph83XaGc0o0/edit?usp=sharing"",""งบพรบ!BA35"")"),0)</f>
        <v>0</v>
      </c>
      <c r="M124" s="870">
        <f ca="1">IFERROR(__xludf.DUMMYFUNCTION("IMPORTRANGE(""https://docs.google.com/spreadsheets/d/1MeEWN-I1oV_STSDYn1IFDPWt_1FKiwhDph83XaGc0o0/edit?usp=sharing"",""งบพรบ!BF35"")"),0)</f>
        <v>0</v>
      </c>
      <c r="N124" s="870">
        <f ca="1">IFERROR(__xludf.DUMMYFUNCTION("IMPORTRANGE(""https://docs.google.com/spreadsheets/d/1MeEWN-I1oV_STSDYn1IFDPWt_1FKiwhDph83XaGc0o0/edit?usp=sharing"",""งบพรบ!BH35"")"),0)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IFERROR(__xludf.DUMMYFUNCTION("IMPORTRANGE(""https://docs.google.com/spreadsheets/d/1MeEWN-I1oV_STSDYn1IFDPWt_1FKiwhDph83XaGc0o0/edit?usp=sharing"",""งบพรบ!BD35"")"),0)</f>
        <v>0</v>
      </c>
      <c r="M127" s="870">
        <f ca="1">IFERROR(__xludf.DUMMYFUNCTION("IMPORTRANGE(""https://docs.google.com/spreadsheets/d/1MeEWN-I1oV_STSDYn1IFDPWt_1FKiwhDph83XaGc0o0/edit?usp=sharing"",""งบพรบ!BG35"")"),0)</f>
        <v>0</v>
      </c>
      <c r="N127" s="870">
        <f ca="1">IFERROR(__xludf.DUMMYFUNCTION("IMPORTRANGE(""https://docs.google.com/spreadsheets/d/1MeEWN-I1oV_STSDYn1IFDPWt_1FKiwhDph83XaGc0o0/edit?usp=sharing"",""งบพรบ!BI35"")"),0)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IFERROR(__xludf.DUMMYFUNCTION("IMPORTRANGE(""https://docs.google.com/spreadsheets/d/1MeEWN-I1oV_STSDYn1IFDPWt_1FKiwhDph83XaGc0o0/edit?usp=sharing"",""งบพรบ!BK35"")"),0)</f>
        <v>0</v>
      </c>
      <c r="M137" s="870">
        <f ca="1">IFERROR(__xludf.DUMMYFUNCTION("IMPORTRANGE(""https://docs.google.com/spreadsheets/d/1MeEWN-I1oV_STSDYn1IFDPWt_1FKiwhDph83XaGc0o0/edit?usp=sharing"",""งบพรบ!BP35"")"),0)</f>
        <v>0</v>
      </c>
      <c r="N137" s="870">
        <f ca="1">IFERROR(__xludf.DUMMYFUNCTION("IMPORTRANGE(""https://docs.google.com/spreadsheets/d/1MeEWN-I1oV_STSDYn1IFDPWt_1FKiwhDph83XaGc0o0/edit?usp=sharing"",""งบพรบ!BR35"")"),0)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IFERROR(__xludf.DUMMYFUNCTION("IMPORTRANGE(""https://docs.google.com/spreadsheets/d/1MeEWN-I1oV_STSDYn1IFDPWt_1FKiwhDph83XaGc0o0/edit?usp=sharing"",""งบพรบ!BN35"")"),0)</f>
        <v>0</v>
      </c>
      <c r="M140" s="870">
        <f ca="1">IFERROR(__xludf.DUMMYFUNCTION("IMPORTRANGE(""https://docs.google.com/spreadsheets/d/1MeEWN-I1oV_STSDYn1IFDPWt_1FKiwhDph83XaGc0o0/edit?usp=sharing"",""งบพรบ!BQ35"")"),0)</f>
        <v>0</v>
      </c>
      <c r="N140" s="870">
        <f ca="1">IFERROR(__xludf.DUMMYFUNCTION("IMPORTRANGE(""https://docs.google.com/spreadsheets/d/1MeEWN-I1oV_STSDYn1IFDPWt_1FKiwhDph83XaGc0o0/edit?usp=sharing"",""งบพรบ!BS35"")"),0)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IFERROR(__xludf.DUMMYFUNCTION("IMPORTRANGE(""https://docs.google.com/spreadsheets/d/1QqKyyYR6Q21VydFLVH3TRQUabQu_ym0Zz7PgGX0-kHA/edit?usp=sharing"",""แผน!U35"")"),0)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IFERROR(__xludf.DUMMYFUNCTION("IMPORTRANGE(""https://docs.google.com/spreadsheets/d/1QqKyyYR6Q21VydFLVH3TRQUabQu_ym0Zz7PgGX0-kHA/edit?usp=sharing"",""แผน!V35"")"),0)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IFERROR(__xludf.DUMMYFUNCTION("IMPORTRANGE(""https://docs.google.com/spreadsheets/d/1QqKyyYR6Q21VydFLVH3TRQUabQu_ym0Zz7PgGX0-kHA/edit?usp=sharing"",""แผน!W35"")"),0)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IFERROR(__xludf.DUMMYFUNCTION("IMPORTRANGE(""https://docs.google.com/spreadsheets/d/1MeEWN-I1oV_STSDYn1IFDPWt_1FKiwhDph83XaGc0o0/edit?usp=sharing"",""งบพรบ!BU35"")"),0)</f>
        <v>0</v>
      </c>
      <c r="M154" s="870">
        <f ca="1">IFERROR(__xludf.DUMMYFUNCTION("IMPORTRANGE(""https://docs.google.com/spreadsheets/d/1MeEWN-I1oV_STSDYn1IFDPWt_1FKiwhDph83XaGc0o0/edit?usp=sharing"",""งบพรบ!BZ35"")"),0)</f>
        <v>0</v>
      </c>
      <c r="N154" s="870">
        <f ca="1">IFERROR(__xludf.DUMMYFUNCTION("IMPORTRANGE(""https://docs.google.com/spreadsheets/d/1MeEWN-I1oV_STSDYn1IFDPWt_1FKiwhDph83XaGc0o0/edit?usp=sharing"",""งบพรบ!CB35"")"),0)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IFERROR(__xludf.DUMMYFUNCTION("IMPORTRANGE(""https://docs.google.com/spreadsheets/d/1MeEWN-I1oV_STSDYn1IFDPWt_1FKiwhDph83XaGc0o0/edit?usp=sharing"",""งบพรบ!BX35"")"),0)</f>
        <v>0</v>
      </c>
      <c r="M157" s="870">
        <f ca="1">IFERROR(__xludf.DUMMYFUNCTION("IMPORTRANGE(""https://docs.google.com/spreadsheets/d/1MeEWN-I1oV_STSDYn1IFDPWt_1FKiwhDph83XaGc0o0/edit?usp=sharing"",""งบพรบ!CA35"")"),0)</f>
        <v>0</v>
      </c>
      <c r="N157" s="870">
        <f ca="1">IFERROR(__xludf.DUMMYFUNCTION("IMPORTRANGE(""https://docs.google.com/spreadsheets/d/1MeEWN-I1oV_STSDYn1IFDPWt_1FKiwhDph83XaGc0o0/edit?usp=sharing"",""งบพรบ!CC35"")"),0)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IFERROR(__xludf.DUMMYFUNCTION("IMPORTRANGE(""https://docs.google.com/spreadsheets/d/1QqKyyYR6Q21VydFLVH3TRQUabQu_ym0Zz7PgGX0-kHA/edit?usp=sharing"",""แผน!X35"")"),0)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22055</v>
      </c>
      <c r="N165" s="972">
        <f t="shared" ca="1" si="84"/>
        <v>22055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22055</v>
      </c>
      <c r="N167" s="870">
        <f t="shared" ca="1" si="87"/>
        <v>22055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22055</v>
      </c>
      <c r="N168" s="864">
        <f t="shared" ca="1" si="88"/>
        <v>22055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IFERROR(__xludf.DUMMYFUNCTION("IMPORTRANGE(""https://docs.google.com/spreadsheets/d/1MeEWN-I1oV_STSDYn1IFDPWt_1FKiwhDph83XaGc0o0/edit?usp=sharing"",""งบพรบ!CE35"")"),22055)</f>
        <v>22055</v>
      </c>
      <c r="M170" s="870">
        <f ca="1">IFERROR(__xludf.DUMMYFUNCTION("IMPORTRANGE(""https://docs.google.com/spreadsheets/d/1MeEWN-I1oV_STSDYn1IFDPWt_1FKiwhDph83XaGc0o0/edit?usp=sharing"",""งบพรบ!CJ35"")"),22055)</f>
        <v>22055</v>
      </c>
      <c r="N170" s="870">
        <f ca="1">IFERROR(__xludf.DUMMYFUNCTION("IMPORTRANGE(""https://docs.google.com/spreadsheets/d/1MeEWN-I1oV_STSDYn1IFDPWt_1FKiwhDph83XaGc0o0/edit?usp=sharing"",""งบพรบ!CL35"")"),22055)</f>
        <v>22055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IFERROR(__xludf.DUMMYFUNCTION("IMPORTRANGE(""https://docs.google.com/spreadsheets/d/1MeEWN-I1oV_STSDYn1IFDPWt_1FKiwhDph83XaGc0o0/edit?usp=sharing"",""งบพรบ!CH35"")"),0)</f>
        <v>0</v>
      </c>
      <c r="M173" s="870">
        <f ca="1">IFERROR(__xludf.DUMMYFUNCTION("IMPORTRANGE(""https://docs.google.com/spreadsheets/d/1MeEWN-I1oV_STSDYn1IFDPWt_1FKiwhDph83XaGc0o0/edit?usp=sharing"",""งบพรบ!CK35"")"),0)</f>
        <v>0</v>
      </c>
      <c r="N173" s="870">
        <f ca="1">IFERROR(__xludf.DUMMYFUNCTION("IMPORTRANGE(""https://docs.google.com/spreadsheets/d/1MeEWN-I1oV_STSDYn1IFDPWt_1FKiwhDph83XaGc0o0/edit?usp=sharing"",""งบพรบ!CM35"")"),0)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IFERROR(__xludf.DUMMYFUNCTION("IMPORTRANGE(""https://docs.google.com/spreadsheets/d/1QqKyyYR6Q21VydFLVH3TRQUabQu_ym0Zz7PgGX0-kHA/edit?usp=sharing"",""แผน!Y35"")"),11)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65500</v>
      </c>
      <c r="M181" s="972">
        <f t="shared" ca="1" si="92"/>
        <v>60500</v>
      </c>
      <c r="N181" s="972">
        <f t="shared" ca="1" si="92"/>
        <v>32000</v>
      </c>
      <c r="O181" s="972">
        <f t="shared" ref="O181:O189" ca="1" si="93">IF(L181&gt;0,N181*100/L181,0)</f>
        <v>48.854961832061072</v>
      </c>
      <c r="P181" s="972">
        <f t="shared" ref="P181:P189" ca="1" si="94">IF(M181&gt;0,N181*100/M181,0)</f>
        <v>52.892561983471076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65500</v>
      </c>
      <c r="M183" s="870">
        <f t="shared" ca="1" si="95"/>
        <v>60500</v>
      </c>
      <c r="N183" s="870">
        <f t="shared" ca="1" si="95"/>
        <v>32000</v>
      </c>
      <c r="O183" s="870">
        <f t="shared" ca="1" si="93"/>
        <v>48.854961832061072</v>
      </c>
      <c r="P183" s="870">
        <f t="shared" ca="1" si="94"/>
        <v>52.892561983471076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65500</v>
      </c>
      <c r="M184" s="864">
        <f t="shared" ca="1" si="96"/>
        <v>60500</v>
      </c>
      <c r="N184" s="864">
        <f t="shared" ca="1" si="96"/>
        <v>32000</v>
      </c>
      <c r="O184" s="864">
        <f t="shared" ca="1" si="93"/>
        <v>48.854961832061072</v>
      </c>
      <c r="P184" s="864">
        <f t="shared" ca="1" si="94"/>
        <v>52.892561983471076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IFERROR(__xludf.DUMMYFUNCTION("IMPORTRANGE(""https://docs.google.com/spreadsheets/d/1MeEWN-I1oV_STSDYn1IFDPWt_1FKiwhDph83XaGc0o0/edit?usp=sharing"",""งบพรบ!CO35"")"),65500)</f>
        <v>65500</v>
      </c>
      <c r="M186" s="870">
        <f ca="1">IFERROR(__xludf.DUMMYFUNCTION("IMPORTRANGE(""https://docs.google.com/spreadsheets/d/1MeEWN-I1oV_STSDYn1IFDPWt_1FKiwhDph83XaGc0o0/edit?usp=sharing"",""งบพรบ!CT35"")"),60500)</f>
        <v>60500</v>
      </c>
      <c r="N186" s="870">
        <f ca="1">IFERROR(__xludf.DUMMYFUNCTION("IMPORTRANGE(""https://docs.google.com/spreadsheets/d/1MeEWN-I1oV_STSDYn1IFDPWt_1FKiwhDph83XaGc0o0/edit?usp=sharing"",""งบพรบ!CV35"")"),32000)</f>
        <v>32000</v>
      </c>
      <c r="O186" s="870">
        <f t="shared" ca="1" si="93"/>
        <v>48.854961832061072</v>
      </c>
      <c r="P186" s="870">
        <f t="shared" ca="1" si="94"/>
        <v>52.892561983471076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IFERROR(__xludf.DUMMYFUNCTION("IMPORTRANGE(""https://docs.google.com/spreadsheets/d/1MeEWN-I1oV_STSDYn1IFDPWt_1FKiwhDph83XaGc0o0/edit?usp=sharing"",""งบพรบ!CR35"")"),0)</f>
        <v>0</v>
      </c>
      <c r="M189" s="870">
        <f ca="1">IFERROR(__xludf.DUMMYFUNCTION("IMPORTRANGE(""https://docs.google.com/spreadsheets/d/1MeEWN-I1oV_STSDYn1IFDPWt_1FKiwhDph83XaGc0o0/edit?usp=sharing"",""งบพรบ!CU35"")"),0)</f>
        <v>0</v>
      </c>
      <c r="N189" s="870">
        <f ca="1">IFERROR(__xludf.DUMMYFUNCTION("IMPORTRANGE(""https://docs.google.com/spreadsheets/d/1MeEWN-I1oV_STSDYn1IFDPWt_1FKiwhDph83XaGc0o0/edit?usp=sharing"",""งบพรบ!CW35"")"),0)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IFERROR(__xludf.DUMMYFUNCTION("IMPORTRANGE(""https://docs.google.com/spreadsheets/d/1QqKyyYR6Q21VydFLVH3TRQUabQu_ym0Zz7PgGX0-kHA/edit?usp=sharing"",""แผน!Z35"")"),6000)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IFERROR(__xludf.DUMMYFUNCTION("IMPORTRANGE(""https://docs.google.com/spreadsheets/d/1QqKyyYR6Q21VydFLVH3TRQUabQu_ym0Zz7PgGX0-kHA/edit?usp=sharing"",""แผน!AC35"")"),4)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24000</v>
      </c>
      <c r="O198" s="972">
        <f ca="1">IF(L198&gt;0,N198*100/L198,0)</f>
        <v>61.53846153846154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IFERROR(__xludf.DUMMYFUNCTION("IMPORTRANGE(""https://docs.google.com/spreadsheets/d/1QqKyyYR6Q21VydFLVH3TRQUabQu_ym0Zz7PgGX0-kHA/edit?usp=sharing"",""แผน!AE35"")"),3000)</f>
        <v>3000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IFERROR(__xludf.DUMMYFUNCTION("IMPORTRANGE(""https://docs.google.com/spreadsheets/d/1QqKyyYR6Q21VydFLVH3TRQUabQu_ym0Zz7PgGX0-kHA/edit?usp=sharing"",""แผน!AF35"")"),24000)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IFERROR(__xludf.DUMMYFUNCTION("IMPORTRANGE(""https://docs.google.com/spreadsheets/d/1QqKyyYR6Q21VydFLVH3TRQUabQu_ym0Zz7PgGX0-kHA/edit?usp=sharing"",""แผน!AG35"")"),12000)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IFERROR(__xludf.DUMMYFUNCTION("IMPORTRANGE(""https://docs.google.com/spreadsheets/d/1QqKyyYR6Q21VydFLVH3TRQUabQu_ym0Zz7PgGX0-kHA/edit?usp=sharing"",""แผน!AH35"")"),0)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IFERROR(__xludf.DUMMYFUNCTION("IMPORTRANGE(""https://docs.google.com/spreadsheets/d/1QqKyyYR6Q21VydFLVH3TRQUabQu_ym0Zz7PgGX0-kHA/edit?usp=sharing"",""แผน!AI35"")"),3)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8000</v>
      </c>
      <c r="O209" s="972">
        <f ca="1">IF(L209&gt;0,N209*100/L209,0)</f>
        <v>57.142857142857146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IFERROR(__xludf.DUMMYFUNCTION("IMPORTRANGE(""https://docs.google.com/spreadsheets/d/1QqKyyYR6Q21VydFLVH3TRQUabQu_ym0Zz7PgGX0-kHA/edit?usp=sharing"",""แผน!AK35"")"),1000)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IFERROR(__xludf.DUMMYFUNCTION("IMPORTRANGE(""https://docs.google.com/spreadsheets/d/1QqKyyYR6Q21VydFLVH3TRQUabQu_ym0Zz7PgGX0-kHA/edit?usp=sharing"",""แผน!AL35"")"),5000)</f>
        <v>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IFERROR(__xludf.DUMMYFUNCTION("IMPORTRANGE(""https://docs.google.com/spreadsheets/d/1QqKyyYR6Q21VydFLVH3TRQUabQu_ym0Zz7PgGX0-kHA/edit?usp=sharing"",""แผน!AM35"")"),8000)</f>
        <v>8000</v>
      </c>
      <c r="M212" s="864"/>
      <c r="N212" s="1064">
        <v>8000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IFERROR(__xludf.DUMMYFUNCTION("IMPORTRANGE(""https://docs.google.com/spreadsheets/d/1QqKyyYR6Q21VydFLVH3TRQUabQu_ym0Zz7PgGX0-kHA/edit?usp=sharing"",""แผน!AN35"")"),1)</f>
        <v>1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IFERROR(__xludf.DUMMYFUNCTION("IMPORTRANGE(""https://docs.google.com/spreadsheets/d/1QqKyyYR6Q21VydFLVH3TRQUabQu_ym0Zz7PgGX0-kHA/edit?usp=sharing"",""แผน!AN35"")"),1)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6500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IFERROR(__xludf.DUMMYFUNCTION("IMPORTRANGE(""https://docs.google.com/spreadsheets/d/1QqKyyYR6Q21VydFLVH3TRQUabQu_ym0Zz7PgGX0-kHA/edit?usp=sharing"",""แผน!AP35"")"),3000)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IFERROR(__xludf.DUMMYFUNCTION("IMPORTRANGE(""https://docs.google.com/spreadsheets/d/1QqKyyYR6Q21VydFLVH3TRQUabQu_ym0Zz7PgGX0-kHA/edit?usp=sharing"",""แผน!AQ35"")"),3500)</f>
        <v>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IFERROR(__xludf.DUMMYFUNCTION("IMPORTRANGE(""https://docs.google.com/spreadsheets/d/1QqKyyYR6Q21VydFLVH3TRQUabQu_ym0Zz7PgGX0-kHA/edit?usp=sharing"",""แผน!AR35"")"),0)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IFERROR(__xludf.DUMMYFUNCTION("IMPORTRANGE(""https://docs.google.com/spreadsheets/d/1QqKyyYR6Q21VydFLVH3TRQUabQu_ym0Zz7PgGX0-kHA/edit?usp=sharing"",""แผน!AT35"")"),10000)</f>
        <v>10000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IFERROR(__xludf.DUMMYFUNCTION("IMPORTRANGE(""https://docs.google.com/spreadsheets/d/1QqKyyYR6Q21VydFLVH3TRQUabQu_ym0Zz7PgGX0-kHA/edit?usp=sharing"",""แผน!AT35"")"),10000)</f>
        <v>10000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IFERROR(__xludf.DUMMYFUNCTION("IMPORTRANGE(""https://docs.google.com/spreadsheets/d/1QqKyyYR6Q21VydFLVH3TRQUabQu_ym0Zz7PgGX0-kHA/edit?usp=sharing"",""แผน!AS35"")"),0)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IFERROR(__xludf.DUMMYFUNCTION("IMPORTRANGE(""https://docs.google.com/spreadsheets/d/1QqKyyYR6Q21VydFLVH3TRQUabQu_ym0Zz7PgGX0-kHA/edit?usp=sharing"",""แผน!AV35"")"),0)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IFERROR(__xludf.DUMMYFUNCTION("IMPORTRANGE(""https://docs.google.com/spreadsheets/d/1QqKyyYR6Q21VydFLVH3TRQUabQu_ym0Zz7PgGX0-kHA/edit?usp=sharing"",""แผน!AW35"")"),0)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IFERROR(__xludf.DUMMYFUNCTION("IMPORTRANGE(""https://docs.google.com/spreadsheets/d/1QqKyyYR6Q21VydFLVH3TRQUabQu_ym0Zz7PgGX0-kHA/edit?usp=sharing"",""แผน!AX35"")"),0)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IFERROR(__xludf.DUMMYFUNCTION("IMPORTRANGE(""https://docs.google.com/spreadsheets/d/1QqKyyYR6Q21VydFLVH3TRQUabQu_ym0Zz7PgGX0-kHA/edit?usp=sharing"",""แผน!AY35"")"),0)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IFERROR(__xludf.DUMMYFUNCTION("IMPORTRANGE(""https://docs.google.com/spreadsheets/d/1QqKyyYR6Q21VydFLVH3TRQUabQu_ym0Zz7PgGX0-kHA/edit?usp=sharing"",""แผน!BE35"")"),0)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IFERROR(__xludf.DUMMYFUNCTION("IMPORTRANGE(""https://docs.google.com/spreadsheets/d/1QqKyyYR6Q21VydFLVH3TRQUabQu_ym0Zz7PgGX0-kHA/edit?usp=sharing"",""แผน!AZ35"")"),0)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IFERROR(__xludf.DUMMYFUNCTION("IMPORTRANGE(""https://docs.google.com/spreadsheets/d/1QqKyyYR6Q21VydFLVH3TRQUabQu_ym0Zz7PgGX0-kHA/edit?usp=sharing"",""แผน!BA35"")"),0)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IFERROR(__xludf.DUMMYFUNCTION("IMPORTRANGE(""https://docs.google.com/spreadsheets/d/1QqKyyYR6Q21VydFLVH3TRQUabQu_ym0Zz7PgGX0-kHA/edit?usp=sharing"",""แผน!BB35"")"),0)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IFERROR(__xludf.DUMMYFUNCTION("IMPORTRANGE(""https://docs.google.com/spreadsheets/d/1QqKyyYR6Q21VydFLVH3TRQUabQu_ym0Zz7PgGX0-kHA/edit?usp=sharing"",""แผน!BC35"")"),0)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IFERROR(__xludf.DUMMYFUNCTION("IMPORTRANGE(""https://docs.google.com/spreadsheets/d/1QqKyyYR6Q21VydFLVH3TRQUabQu_ym0Zz7PgGX0-kHA/edit?usp=sharing"",""แผน!BF35"")"),0)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169900</v>
      </c>
      <c r="M261" s="972">
        <f t="shared" ca="1" si="116"/>
        <v>127900</v>
      </c>
      <c r="N261" s="972">
        <f t="shared" ca="1" si="116"/>
        <v>85430.21</v>
      </c>
      <c r="O261" s="972">
        <f t="shared" ref="O261:O269" ca="1" si="117">IF(L261&gt;0,N261*100/L261,0)</f>
        <v>50.28264273101825</v>
      </c>
      <c r="P261" s="972">
        <f t="shared" ref="P261:P269" ca="1" si="118">IF(M261&gt;0,N261*100/M261,0)</f>
        <v>66.794534792806886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169900</v>
      </c>
      <c r="M263" s="870">
        <f t="shared" ca="1" si="119"/>
        <v>127900</v>
      </c>
      <c r="N263" s="870">
        <f t="shared" ca="1" si="119"/>
        <v>85430.21</v>
      </c>
      <c r="O263" s="870">
        <f t="shared" ca="1" si="117"/>
        <v>50.28264273101825</v>
      </c>
      <c r="P263" s="870">
        <f t="shared" ca="1" si="118"/>
        <v>66.794534792806886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169900</v>
      </c>
      <c r="M264" s="864">
        <f t="shared" ca="1" si="120"/>
        <v>127900</v>
      </c>
      <c r="N264" s="864">
        <f t="shared" ca="1" si="120"/>
        <v>85430.21</v>
      </c>
      <c r="O264" s="864">
        <f t="shared" ca="1" si="117"/>
        <v>50.28264273101825</v>
      </c>
      <c r="P264" s="864">
        <f t="shared" ca="1" si="118"/>
        <v>66.794534792806886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IFERROR(__xludf.DUMMYFUNCTION("IMPORTRANGE(""https://docs.google.com/spreadsheets/d/1MeEWN-I1oV_STSDYn1IFDPWt_1FKiwhDph83XaGc0o0/edit?usp=sharing"",""งบพรบ!CY35"")"),169900)</f>
        <v>169900</v>
      </c>
      <c r="M266" s="870">
        <f ca="1">IFERROR(__xludf.DUMMYFUNCTION("IMPORTRANGE(""https://docs.google.com/spreadsheets/d/1MeEWN-I1oV_STSDYn1IFDPWt_1FKiwhDph83XaGc0o0/edit?usp=sharing"",""งบพรบ!DD35"")"),127900)</f>
        <v>127900</v>
      </c>
      <c r="N266" s="870">
        <f ca="1">IFERROR(__xludf.DUMMYFUNCTION("IMPORTRANGE(""https://docs.google.com/spreadsheets/d/1MeEWN-I1oV_STSDYn1IFDPWt_1FKiwhDph83XaGc0o0/edit?usp=sharing"",""งบพรบ!DF35"")"),85430.21)</f>
        <v>85430.21</v>
      </c>
      <c r="O266" s="870">
        <f t="shared" ca="1" si="117"/>
        <v>50.28264273101825</v>
      </c>
      <c r="P266" s="870">
        <f t="shared" ca="1" si="118"/>
        <v>66.794534792806886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IFERROR(__xludf.DUMMYFUNCTION("IMPORTRANGE(""https://docs.google.com/spreadsheets/d/1MeEWN-I1oV_STSDYn1IFDPWt_1FKiwhDph83XaGc0o0/edit?usp=sharing"",""งบพรบ!DB35"")"),0)</f>
        <v>0</v>
      </c>
      <c r="M269" s="870">
        <f ca="1">IFERROR(__xludf.DUMMYFUNCTION("IMPORTRANGE(""https://docs.google.com/spreadsheets/d/1MeEWN-I1oV_STSDYn1IFDPWt_1FKiwhDph83XaGc0o0/edit?usp=sharing"",""งบพรบ!DE35"")"),0)</f>
        <v>0</v>
      </c>
      <c r="N269" s="870">
        <f ca="1">IFERROR(__xludf.DUMMYFUNCTION("IMPORTRANGE(""https://docs.google.com/spreadsheets/d/1MeEWN-I1oV_STSDYn1IFDPWt_1FKiwhDph83XaGc0o0/edit?usp=sharing"",""งบพรบ!DG35"")"),0)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IFERROR(__xludf.DUMMYFUNCTION("IMPORTRANGE(""https://docs.google.com/spreadsheets/d/1QqKyyYR6Q21VydFLVH3TRQUabQu_ym0Zz7PgGX0-kHA/edit?usp=sharing"",""แผน!EA35"")"),22)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10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100</v>
      </c>
      <c r="J276" s="1141">
        <f t="shared" si="124"/>
        <v>100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41010</v>
      </c>
      <c r="M277" s="972">
        <f t="shared" ca="1" si="125"/>
        <v>21950</v>
      </c>
      <c r="N277" s="972">
        <f t="shared" ca="1" si="125"/>
        <v>11290</v>
      </c>
      <c r="O277" s="972">
        <f t="shared" ref="O277:O285" ca="1" si="126">IF(L277&gt;0,N277*100/L277,0)</f>
        <v>27.52987076322848</v>
      </c>
      <c r="P277" s="972">
        <f t="shared" ref="P277:P285" ca="1" si="127">IF(M277&gt;0,N277*100/M277,0)</f>
        <v>51.43507972665148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41010</v>
      </c>
      <c r="M279" s="870">
        <f t="shared" ca="1" si="128"/>
        <v>21950</v>
      </c>
      <c r="N279" s="870">
        <f t="shared" ca="1" si="128"/>
        <v>11290</v>
      </c>
      <c r="O279" s="870">
        <f t="shared" ca="1" si="126"/>
        <v>27.52987076322848</v>
      </c>
      <c r="P279" s="870">
        <f t="shared" ca="1" si="127"/>
        <v>51.43507972665148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41010</v>
      </c>
      <c r="M280" s="864">
        <f t="shared" ca="1" si="129"/>
        <v>21950</v>
      </c>
      <c r="N280" s="864">
        <f t="shared" ca="1" si="129"/>
        <v>11290</v>
      </c>
      <c r="O280" s="864">
        <f t="shared" ca="1" si="126"/>
        <v>27.52987076322848</v>
      </c>
      <c r="P280" s="864">
        <f t="shared" ca="1" si="127"/>
        <v>51.43507972665148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IFERROR(__xludf.DUMMYFUNCTION("IMPORTRANGE(""https://docs.google.com/spreadsheets/d/1MeEWN-I1oV_STSDYn1IFDPWt_1FKiwhDph83XaGc0o0/edit?usp=sharing"",""งบพรบ!DI35"")"),41010)</f>
        <v>41010</v>
      </c>
      <c r="M282" s="870">
        <f ca="1">IFERROR(__xludf.DUMMYFUNCTION("IMPORTRANGE(""https://docs.google.com/spreadsheets/d/1MeEWN-I1oV_STSDYn1IFDPWt_1FKiwhDph83XaGc0o0/edit?usp=sharing"",""งบพรบ!DN35"")"),21950)</f>
        <v>21950</v>
      </c>
      <c r="N282" s="870">
        <f ca="1">IFERROR(__xludf.DUMMYFUNCTION("IMPORTRANGE(""https://docs.google.com/spreadsheets/d/1MeEWN-I1oV_STSDYn1IFDPWt_1FKiwhDph83XaGc0o0/edit?usp=sharing"",""งบพรบ!DP35"")"),11290)</f>
        <v>11290</v>
      </c>
      <c r="O282" s="870">
        <f t="shared" ca="1" si="126"/>
        <v>27.52987076322848</v>
      </c>
      <c r="P282" s="870">
        <f t="shared" ca="1" si="127"/>
        <v>51.43507972665148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IFERROR(__xludf.DUMMYFUNCTION("IMPORTRANGE(""https://docs.google.com/spreadsheets/d/1MeEWN-I1oV_STSDYn1IFDPWt_1FKiwhDph83XaGc0o0/edit?usp=sharing"",""งบพรบ!DL35"")"),0)</f>
        <v>0</v>
      </c>
      <c r="M285" s="870">
        <f ca="1">IFERROR(__xludf.DUMMYFUNCTION("IMPORTRANGE(""https://docs.google.com/spreadsheets/d/1MeEWN-I1oV_STSDYn1IFDPWt_1FKiwhDph83XaGc0o0/edit?usp=sharing"",""งบพรบ!DO35"")"),0)</f>
        <v>0</v>
      </c>
      <c r="N285" s="870">
        <f ca="1">IFERROR(__xludf.DUMMYFUNCTION("IMPORTRANGE(""https://docs.google.com/spreadsheets/d/1MeEWN-I1oV_STSDYn1IFDPWt_1FKiwhDph83XaGc0o0/edit?usp=sharing"",""งบพรบ!DQ35"")"),0)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IFERROR(__xludf.DUMMYFUNCTION("IMPORTRANGE(""https://docs.google.com/spreadsheets/d/1QqKyyYR6Q21VydFLVH3TRQUabQu_ym0Zz7PgGX0-kHA/edit?usp=sharing"",""แผน!EC35"")"),100)</f>
        <v>100</v>
      </c>
      <c r="J287" s="992">
        <v>100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IFERROR(__xludf.DUMMYFUNCTION("IMPORTRANGE(""https://docs.google.com/spreadsheets/d/1QqKyyYR6Q21VydFLVH3TRQUabQu_ym0Zz7PgGX0-kHA/edit?usp=sharing"",""แผน!EB35"")"),10)</f>
        <v>10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IFERROR(__xludf.DUMMYFUNCTION("IMPORTRANGE(""https://docs.google.com/spreadsheets/d/1QqKyyYR6Q21VydFLVH3TRQUabQu_ym0Zz7PgGX0-kHA/edit?usp=sharing"",""แผน!EB35"")"),10)</f>
        <v>10</v>
      </c>
      <c r="J290" s="992">
        <v>10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IFERROR(__xludf.DUMMYFUNCTION("IMPORTRANGE(""https://docs.google.com/spreadsheets/d/1QqKyyYR6Q21VydFLVH3TRQUabQu_ym0Zz7PgGX0-kHA/edit?usp=sharing"",""แผน!EB35"")"),10)</f>
        <v>10</v>
      </c>
      <c r="J291" s="992">
        <v>10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IFERROR(__xludf.DUMMYFUNCTION("IMPORTRANGE(""https://docs.google.com/spreadsheets/d/1QqKyyYR6Q21VydFLVH3TRQUabQu_ym0Zz7PgGX0-kHA/edit?usp=sharing"",""แผน!EB35"")"),10)</f>
        <v>10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IFERROR(__xludf.DUMMYFUNCTION("IMPORTRANGE(""https://docs.google.com/spreadsheets/d/1QqKyyYR6Q21VydFLVH3TRQUabQu_ym0Zz7PgGX0-kHA/edit?usp=sharing"",""แผน!EB35"")"),10)</f>
        <v>10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15</v>
      </c>
      <c r="J297" s="1170">
        <f t="shared" si="134"/>
        <v>15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63800</v>
      </c>
      <c r="M298" s="972">
        <f t="shared" ca="1" si="135"/>
        <v>50300</v>
      </c>
      <c r="N298" s="972">
        <f t="shared" ca="1" si="135"/>
        <v>41070</v>
      </c>
      <c r="O298" s="972">
        <f t="shared" ref="O298:O306" ca="1" si="136">IF(L298&gt;0,N298*100/L298,0)</f>
        <v>64.373040752351102</v>
      </c>
      <c r="P298" s="972">
        <f t="shared" ref="P298:P306" ca="1" si="137">IF(M298&gt;0,N298*100/M298,0)</f>
        <v>81.650099403578523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63800</v>
      </c>
      <c r="M300" s="870">
        <f t="shared" ca="1" si="138"/>
        <v>50300</v>
      </c>
      <c r="N300" s="870">
        <f t="shared" ca="1" si="138"/>
        <v>41070</v>
      </c>
      <c r="O300" s="870">
        <f t="shared" ca="1" si="136"/>
        <v>64.373040752351102</v>
      </c>
      <c r="P300" s="870">
        <f t="shared" ca="1" si="137"/>
        <v>81.650099403578523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63800</v>
      </c>
      <c r="M301" s="864">
        <f t="shared" ca="1" si="139"/>
        <v>50300</v>
      </c>
      <c r="N301" s="864">
        <f t="shared" ca="1" si="139"/>
        <v>41070</v>
      </c>
      <c r="O301" s="864">
        <f t="shared" ca="1" si="136"/>
        <v>64.373040752351102</v>
      </c>
      <c r="P301" s="864">
        <f t="shared" ca="1" si="137"/>
        <v>81.650099403578523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IFERROR(__xludf.DUMMYFUNCTION("IMPORTRANGE(""https://docs.google.com/spreadsheets/d/1MeEWN-I1oV_STSDYn1IFDPWt_1FKiwhDph83XaGc0o0/edit?usp=sharing"",""งบพรบ!DS35"")"),63800)</f>
        <v>63800</v>
      </c>
      <c r="M303" s="870">
        <f ca="1">IFERROR(__xludf.DUMMYFUNCTION("IMPORTRANGE(""https://docs.google.com/spreadsheets/d/1MeEWN-I1oV_STSDYn1IFDPWt_1FKiwhDph83XaGc0o0/edit?usp=sharing"",""งบพรบ!DX35"")"),50300)</f>
        <v>50300</v>
      </c>
      <c r="N303" s="870">
        <f ca="1">IFERROR(__xludf.DUMMYFUNCTION("IMPORTRANGE(""https://docs.google.com/spreadsheets/d/1MeEWN-I1oV_STSDYn1IFDPWt_1FKiwhDph83XaGc0o0/edit?usp=sharing"",""งบพรบ!DZ35"")"),41070)</f>
        <v>41070</v>
      </c>
      <c r="O303" s="870">
        <f t="shared" ca="1" si="136"/>
        <v>64.373040752351102</v>
      </c>
      <c r="P303" s="870">
        <f t="shared" ca="1" si="137"/>
        <v>81.650099403578523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IFERROR(__xludf.DUMMYFUNCTION("IMPORTRANGE(""https://docs.google.com/spreadsheets/d/1MeEWN-I1oV_STSDYn1IFDPWt_1FKiwhDph83XaGc0o0/edit?usp=sharing"",""งบพรบ!DV35"")"),0)</f>
        <v>0</v>
      </c>
      <c r="M306" s="870">
        <f ca="1">IFERROR(__xludf.DUMMYFUNCTION("IMPORTRANGE(""https://docs.google.com/spreadsheets/d/1MeEWN-I1oV_STSDYn1IFDPWt_1FKiwhDph83XaGc0o0/edit?usp=sharing"",""งบพรบ!DY35"")"),0)</f>
        <v>0</v>
      </c>
      <c r="N306" s="870">
        <f ca="1">IFERROR(__xludf.DUMMYFUNCTION("IMPORTRANGE(""https://docs.google.com/spreadsheets/d/1MeEWN-I1oV_STSDYn1IFDPWt_1FKiwhDph83XaGc0o0/edit?usp=sharing"",""งบพรบ!EA35"")"),0)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IFERROR(__xludf.DUMMYFUNCTION("IMPORTRANGE(""https://docs.google.com/spreadsheets/d/1QqKyyYR6Q21VydFLVH3TRQUabQu_ym0Zz7PgGX0-kHA/edit?usp=sharing"",""แผน!ED35"")"),15)</f>
        <v>15</v>
      </c>
      <c r="J309" s="992">
        <v>15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IFERROR(__xludf.DUMMYFUNCTION("IMPORTRANGE(""https://docs.google.com/spreadsheets/d/1QqKyyYR6Q21VydFLVH3TRQUabQu_ym0Zz7PgGX0-kHA/edit?usp=sharing"",""แผน!ED35"")"),15)</f>
        <v>15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IFERROR(__xludf.DUMMYFUNCTION("IMPORTRANGE(""https://docs.google.com/spreadsheets/d/1QqKyyYR6Q21VydFLVH3TRQUabQu_ym0Zz7PgGX0-kHA/edit?usp=sharing"",""แผน!ED35"")"),15)</f>
        <v>15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IFERROR(__xludf.DUMMYFUNCTION("IMPORTRANGE(""https://docs.google.com/spreadsheets/d/1QqKyyYR6Q21VydFLVH3TRQUabQu_ym0Zz7PgGX0-kHA/edit?usp=sharing"",""แผน!EE35"")"),3)</f>
        <v>3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IFERROR(__xludf.DUMMYFUNCTION("IMPORTRANGE(""https://docs.google.com/spreadsheets/d/1MeEWN-I1oV_STSDYn1IFDPWt_1FKiwhDph83XaGc0o0/edit?usp=sharing"",""งบพรบ!EC35"")"),0)</f>
        <v>0</v>
      </c>
      <c r="M320" s="870">
        <f ca="1">IFERROR(__xludf.DUMMYFUNCTION("IMPORTRANGE(""https://docs.google.com/spreadsheets/d/1MeEWN-I1oV_STSDYn1IFDPWt_1FKiwhDph83XaGc0o0/edit?usp=sharing"",""งบพรบ!EH35"")"),0)</f>
        <v>0</v>
      </c>
      <c r="N320" s="870">
        <f ca="1">IFERROR(__xludf.DUMMYFUNCTION("IMPORTRANGE(""https://docs.google.com/spreadsheets/d/1MeEWN-I1oV_STSDYn1IFDPWt_1FKiwhDph83XaGc0o0/edit?usp=sharing"",""งบพรบ!EJ35"")"),0)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IFERROR(__xludf.DUMMYFUNCTION("IMPORTRANGE(""https://docs.google.com/spreadsheets/d/1MeEWN-I1oV_STSDYn1IFDPWt_1FKiwhDph83XaGc0o0/edit?usp=sharing"",""งบพรบ!EF35"")"),0)</f>
        <v>0</v>
      </c>
      <c r="M323" s="870">
        <f ca="1">IFERROR(__xludf.DUMMYFUNCTION("IMPORTRANGE(""https://docs.google.com/spreadsheets/d/1MeEWN-I1oV_STSDYn1IFDPWt_1FKiwhDph83XaGc0o0/edit?usp=sharing"",""งบพรบ!EI35"")"),0)</f>
        <v>0</v>
      </c>
      <c r="N323" s="870">
        <f ca="1">IFERROR(__xludf.DUMMYFUNCTION("IMPORTRANGE(""https://docs.google.com/spreadsheets/d/1MeEWN-I1oV_STSDYn1IFDPWt_1FKiwhDph83XaGc0o0/edit?usp=sharing"",""งบพรบ!EK35"")"),0)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IFERROR(__xludf.DUMMYFUNCTION("IMPORTRANGE(""https://docs.google.com/spreadsheets/d/1QqKyyYR6Q21VydFLVH3TRQUabQu_ym0Zz7PgGX0-kHA/edit?usp=sharing"",""แผน!EF35"")"),0)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IFERROR(__xludf.DUMMYFUNCTION("IMPORTRANGE(""https://docs.google.com/spreadsheets/d/1QqKyyYR6Q21VydFLVH3TRQUabQu_ym0Zz7PgGX0-kHA/edit?usp=sharing"",""แผน!EG35"")"),1300)</f>
        <v>1300</v>
      </c>
      <c r="J327" s="1170">
        <f ca="1">J338+J341+J342+J343</f>
        <v>755</v>
      </c>
      <c r="K327" s="1171">
        <f ca="1">IF(I327&gt;0,J327*100/I327,0)</f>
        <v>58.07692307692308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170000</v>
      </c>
      <c r="M328" s="972">
        <f t="shared" ca="1" si="149"/>
        <v>130000</v>
      </c>
      <c r="N328" s="972">
        <f t="shared" ca="1" si="149"/>
        <v>48798.57</v>
      </c>
      <c r="O328" s="972">
        <f t="shared" ref="O328:O336" ca="1" si="150">IF(L328&gt;0,N328*100/L328,0)</f>
        <v>28.705041176470587</v>
      </c>
      <c r="P328" s="972">
        <f t="shared" ref="P328:P336" ca="1" si="151">IF(M328&gt;0,N328*100/M328,0)</f>
        <v>37.537361538461539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170000</v>
      </c>
      <c r="M330" s="870">
        <f t="shared" ca="1" si="152"/>
        <v>130000</v>
      </c>
      <c r="N330" s="870">
        <f t="shared" ca="1" si="152"/>
        <v>48798.57</v>
      </c>
      <c r="O330" s="870">
        <f t="shared" ca="1" si="150"/>
        <v>28.705041176470587</v>
      </c>
      <c r="P330" s="870">
        <f t="shared" ca="1" si="151"/>
        <v>37.537361538461539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170000</v>
      </c>
      <c r="M331" s="864">
        <f t="shared" ca="1" si="153"/>
        <v>130000</v>
      </c>
      <c r="N331" s="864">
        <f t="shared" ca="1" si="153"/>
        <v>48798.57</v>
      </c>
      <c r="O331" s="864">
        <f t="shared" ca="1" si="150"/>
        <v>28.705041176470587</v>
      </c>
      <c r="P331" s="864">
        <f t="shared" ca="1" si="151"/>
        <v>37.537361538461539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IFERROR(__xludf.DUMMYFUNCTION("IMPORTRANGE(""https://docs.google.com/spreadsheets/d/1MeEWN-I1oV_STSDYn1IFDPWt_1FKiwhDph83XaGc0o0/edit?usp=sharing"",""งบพรบ!EM35"")"),170000)</f>
        <v>170000</v>
      </c>
      <c r="M333" s="870">
        <f ca="1">IFERROR(__xludf.DUMMYFUNCTION("IMPORTRANGE(""https://docs.google.com/spreadsheets/d/1MeEWN-I1oV_STSDYn1IFDPWt_1FKiwhDph83XaGc0o0/edit?usp=sharing"",""งบพรบ!ER35"")"),130000)</f>
        <v>130000</v>
      </c>
      <c r="N333" s="870">
        <f ca="1">IFERROR(__xludf.DUMMYFUNCTION("IMPORTRANGE(""https://docs.google.com/spreadsheets/d/1MeEWN-I1oV_STSDYn1IFDPWt_1FKiwhDph83XaGc0o0/edit?usp=sharing"",""งบพรบ!ET35"")"),48798.57)</f>
        <v>48798.57</v>
      </c>
      <c r="O333" s="870">
        <f t="shared" ca="1" si="150"/>
        <v>28.705041176470587</v>
      </c>
      <c r="P333" s="870">
        <f t="shared" ca="1" si="151"/>
        <v>37.537361538461539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IFERROR(__xludf.DUMMYFUNCTION("IMPORTRANGE(""https://docs.google.com/spreadsheets/d/1MeEWN-I1oV_STSDYn1IFDPWt_1FKiwhDph83XaGc0o0/edit?usp=sharing"",""งบพรบ!EP35"")"),0)</f>
        <v>0</v>
      </c>
      <c r="M336" s="870">
        <f ca="1">IFERROR(__xludf.DUMMYFUNCTION("IMPORTRANGE(""https://docs.google.com/spreadsheets/d/1MeEWN-I1oV_STSDYn1IFDPWt_1FKiwhDph83XaGc0o0/edit?usp=sharing"",""งบพรบ!ES35"")"),0)</f>
        <v>0</v>
      </c>
      <c r="N336" s="870">
        <f ca="1">IFERROR(__xludf.DUMMYFUNCTION("IMPORTRANGE(""https://docs.google.com/spreadsheets/d/1MeEWN-I1oV_STSDYn1IFDPWt_1FKiwhDph83XaGc0o0/edit?usp=sharing"",""งบพรบ!EU35"")"),0)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IFERROR(__xludf.DUMMYFUNCTION("IMPORTRANGE(""https://docs.google.com/spreadsheets/d/1QqKyyYR6Q21VydFLVH3TRQUabQu_ym0Zz7PgGX0-kHA/edit?usp=sharing"",""แผน!EG35"")"),1300)</f>
        <v>1300</v>
      </c>
      <c r="J338" s="863">
        <f ca="1">IFERROR(__xludf.DUMMYFUNCTION("IMPORTRANGE(""https://docs.google.com/spreadsheets/d/1kVcqe37tkHyjCSG3S0O1AXqVkqjo8mSIZil3BcpIysc/edit?usp=sharing"",""ศูนย์!D35"")"),755)</f>
        <v>755</v>
      </c>
      <c r="K338" s="864">
        <f ca="1">IF(I338&gt;0,J338*100/I338,0)</f>
        <v>58.07692307692308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IFERROR(__xludf.DUMMYFUNCTION("IMPORTRANGE(""https://docs.google.com/spreadsheets/d/1QqKyyYR6Q21VydFLVH3TRQUabQu_ym0Zz7PgGX0-kHA/edit?usp=sharing"",""แผน!EH35"")"),6)</f>
        <v>6</v>
      </c>
      <c r="J340" s="863">
        <f ca="1">IFERROR(__xludf.DUMMYFUNCTION("IMPORTRANGE(""https://docs.google.com/spreadsheets/d/1kVcqe37tkHyjCSG3S0O1AXqVkqjo8mSIZil3BcpIysc/edit?usp=sharing"",""ศูนย์!E35"")"),0)</f>
        <v>0</v>
      </c>
      <c r="K340" s="864">
        <f ca="1">IF(I340&gt;0,J340*100/I340,0)</f>
        <v>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IFERROR(__xludf.DUMMYFUNCTION("IMPORTRANGE(""https://docs.google.com/spreadsheets/d/1kVcqe37tkHyjCSG3S0O1AXqVkqjo8mSIZil3BcpIysc/edit?usp=sharing"",""ศูนย์!F35"")"),0)</f>
        <v>0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IFERROR(__xludf.DUMMYFUNCTION("IMPORTRANGE(""https://docs.google.com/spreadsheets/d/1kVcqe37tkHyjCSG3S0O1AXqVkqjo8mSIZil3BcpIysc/edit?usp=sharing"",""ศูนย์!G35"")"),0)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IFERROR(__xludf.DUMMYFUNCTION("IMPORTRANGE(""https://docs.google.com/spreadsheets/d/1kVcqe37tkHyjCSG3S0O1AXqVkqjo8mSIZil3BcpIysc/edit?usp=sharing"",""ศูนย์!H35"")"),0)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752470</v>
      </c>
      <c r="M345" s="972">
        <f t="shared" ca="1" si="155"/>
        <v>637560</v>
      </c>
      <c r="N345" s="972">
        <f t="shared" ca="1" si="155"/>
        <v>354296.8</v>
      </c>
      <c r="O345" s="972">
        <f t="shared" ref="O345:O353" ca="1" si="156">IF(L345&gt;0,N345*100/L345,0)</f>
        <v>47.084508352492456</v>
      </c>
      <c r="P345" s="972">
        <f t="shared" ref="P345:P353" ca="1" si="157">IF(M345&gt;0,N345*100/M345,0)</f>
        <v>55.570738440303657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752470</v>
      </c>
      <c r="M347" s="870">
        <f t="shared" ca="1" si="158"/>
        <v>637560</v>
      </c>
      <c r="N347" s="870">
        <f t="shared" ca="1" si="158"/>
        <v>354296.8</v>
      </c>
      <c r="O347" s="870">
        <f t="shared" ca="1" si="156"/>
        <v>47.084508352492456</v>
      </c>
      <c r="P347" s="870">
        <f t="shared" ca="1" si="157"/>
        <v>55.570738440303657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616870</v>
      </c>
      <c r="M348" s="864">
        <f t="shared" ca="1" si="159"/>
        <v>506160</v>
      </c>
      <c r="N348" s="864">
        <f t="shared" ca="1" si="159"/>
        <v>222896.8</v>
      </c>
      <c r="O348" s="864">
        <f t="shared" ca="1" si="156"/>
        <v>36.133512733639179</v>
      </c>
      <c r="P348" s="864">
        <f t="shared" ca="1" si="157"/>
        <v>44.036826299984192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IFERROR(__xludf.DUMMYFUNCTION("IMPORTRANGE(""https://docs.google.com/spreadsheets/d/1MeEWN-I1oV_STSDYn1IFDPWt_1FKiwhDph83XaGc0o0/edit?usp=sharing"",""งบพรบ!EW35"")"),616870)</f>
        <v>616870</v>
      </c>
      <c r="M350" s="870">
        <f ca="1">IFERROR(__xludf.DUMMYFUNCTION("IMPORTRANGE(""https://docs.google.com/spreadsheets/d/1MeEWN-I1oV_STSDYn1IFDPWt_1FKiwhDph83XaGc0o0/edit?usp=sharing"",""งบพรบ!FB35"")"),506160)</f>
        <v>506160</v>
      </c>
      <c r="N350" s="870">
        <f ca="1">IFERROR(__xludf.DUMMYFUNCTION("IMPORTRANGE(""https://docs.google.com/spreadsheets/d/1MeEWN-I1oV_STSDYn1IFDPWt_1FKiwhDph83XaGc0o0/edit?usp=sharing"",""งบพรบ!FD35"")"),222896.8)</f>
        <v>222896.8</v>
      </c>
      <c r="O350" s="870">
        <f t="shared" ca="1" si="156"/>
        <v>36.133512733639179</v>
      </c>
      <c r="P350" s="870">
        <f t="shared" ca="1" si="157"/>
        <v>44.036826299984192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135600</v>
      </c>
      <c r="M351" s="864">
        <f t="shared" ca="1" si="160"/>
        <v>131400</v>
      </c>
      <c r="N351" s="864">
        <f t="shared" ca="1" si="160"/>
        <v>131400</v>
      </c>
      <c r="O351" s="864">
        <f t="shared" ca="1" si="156"/>
        <v>96.902654867256643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IFERROR(__xludf.DUMMYFUNCTION("IMPORTRANGE(""https://docs.google.com/spreadsheets/d/1MeEWN-I1oV_STSDYn1IFDPWt_1FKiwhDph83XaGc0o0/edit?usp=sharing"",""งบพรบ!EZ35"")"),135600)</f>
        <v>135600</v>
      </c>
      <c r="M353" s="870">
        <f ca="1">IFERROR(__xludf.DUMMYFUNCTION("IMPORTRANGE(""https://docs.google.com/spreadsheets/d/1MeEWN-I1oV_STSDYn1IFDPWt_1FKiwhDph83XaGc0o0/edit?usp=sharing"",""งบพรบ!FC35"")"),131400)</f>
        <v>131400</v>
      </c>
      <c r="N353" s="870">
        <f ca="1">IFERROR(__xludf.DUMMYFUNCTION("IMPORTRANGE(""https://docs.google.com/spreadsheets/d/1MeEWN-I1oV_STSDYn1IFDPWt_1FKiwhDph83XaGc0o0/edit?usp=sharing"",""งบพรบ!FE35"")"),131400)</f>
        <v>131400</v>
      </c>
      <c r="O353" s="870">
        <f t="shared" ca="1" si="156"/>
        <v>96.902654867256643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IFERROR(__xludf.DUMMYFUNCTION("IMPORTRANGE(""https://docs.google.com/spreadsheets/d/1QqKyyYR6Q21VydFLVH3TRQUabQu_ym0Zz7PgGX0-kHA/edit?usp=sharing"",""แผน!EP35"")"),230)</f>
        <v>230</v>
      </c>
      <c r="J355" s="1186">
        <f ca="1">J362</f>
        <v>169</v>
      </c>
      <c r="K355" s="1187">
        <f ca="1">IF(I355&gt;0,J355*100/I355,0)</f>
        <v>73.478260869565219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IFERROR(__xludf.DUMMYFUNCTION("IMPORTRANGE(""https://docs.google.com/spreadsheets/d/1XWAQStnk-4SwqDmLtmXYiTMKHgktTP8We1SCoS47DrQ/edit?usp=sharing"",""จัดที่ดิน!W35"")"),165)</f>
        <v>165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IFERROR(__xludf.DUMMYFUNCTION("IMPORTRANGE(""https://docs.google.com/spreadsheets/d/1QqKyyYR6Q21VydFLVH3TRQUabQu_ym0Zz7PgGX0-kHA/edit?usp=sharing"",""แผน!EO35"")"),2300)</f>
        <v>2300</v>
      </c>
      <c r="J359" s="863">
        <f ca="1">IFERROR(__xludf.DUMMYFUNCTION("IMPORTRANGE(""https://docs.google.com/spreadsheets/d/1XWAQStnk-4SwqDmLtmXYiTMKHgktTP8We1SCoS47DrQ/edit?usp=sharing"",""จัดที่ดิน!X35"")"),1672.48)</f>
        <v>1672.48</v>
      </c>
      <c r="K359" s="864">
        <f t="shared" ca="1" si="161"/>
        <v>72.716521739130428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IFERROR(__xludf.DUMMYFUNCTION("IMPORTRANGE(""https://docs.google.com/spreadsheets/d/1QqKyyYR6Q21VydFLVH3TRQUabQu_ym0Zz7PgGX0-kHA/edit?usp=sharing"",""แผน!EP35"")"),230)</f>
        <v>230</v>
      </c>
      <c r="J360" s="863">
        <f ca="1">IFERROR(__xludf.DUMMYFUNCTION("IMPORTRANGE(""https://docs.google.com/spreadsheets/d/1XWAQStnk-4SwqDmLtmXYiTMKHgktTP8We1SCoS47DrQ/edit?usp=sharing"",""จัดที่ดิน!Y35"")"),169)</f>
        <v>169</v>
      </c>
      <c r="K360" s="864">
        <f t="shared" ca="1" si="161"/>
        <v>73.478260869565219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IFERROR(__xludf.DUMMYFUNCTION("IMPORTRANGE(""https://docs.google.com/spreadsheets/d/1XWAQStnk-4SwqDmLtmXYiTMKHgktTP8We1SCoS47DrQ/edit?usp=sharing"",""จัดที่ดิน!Z35"")"),1703.75)</f>
        <v>1703.75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IFERROR(__xludf.DUMMYFUNCTION("IMPORTRANGE(""https://docs.google.com/spreadsheets/d/1QqKyyYR6Q21VydFLVH3TRQUabQu_ym0Zz7PgGX0-kHA/edit?usp=sharing"",""แผน!EP35"")"),230)</f>
        <v>230</v>
      </c>
      <c r="J362" s="863">
        <f ca="1">IFERROR(__xludf.DUMMYFUNCTION("IMPORTRANGE(""https://docs.google.com/spreadsheets/d/1XWAQStnk-4SwqDmLtmXYiTMKHgktTP8We1SCoS47DrQ/edit?usp=sharing"",""จัดที่ดิน!AA35"")"),169)</f>
        <v>169</v>
      </c>
      <c r="K362" s="864">
        <f t="shared" ca="1" si="161"/>
        <v>73.478260869565219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IFERROR(__xludf.DUMMYFUNCTION("IMPORTRANGE(""https://docs.google.com/spreadsheets/d/1XWAQStnk-4SwqDmLtmXYiTMKHgktTP8We1SCoS47DrQ/edit?usp=sharing"",""จัดที่ดิน!AB35"")"),1703.75)</f>
        <v>1703.75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430</v>
      </c>
      <c r="J364" s="1199">
        <f t="shared" ca="1" si="162"/>
        <v>360</v>
      </c>
      <c r="K364" s="1200">
        <f t="shared" ca="1" si="161"/>
        <v>83.720930232558146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IFERROR(__xludf.DUMMYFUNCTION("IMPORTRANGE(""https://docs.google.com/spreadsheets/d/1QqKyyYR6Q21VydFLVH3TRQUabQu_ym0Zz7PgGX0-kHA/edit?usp=sharing"",""แผน!EJ35"")"),30)</f>
        <v>30</v>
      </c>
      <c r="J365" s="1207">
        <f ca="1">J372</f>
        <v>37</v>
      </c>
      <c r="K365" s="1208">
        <f t="shared" ca="1" si="161"/>
        <v>123.33333333333333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IFERROR(__xludf.DUMMYFUNCTION("IMPORTRANGE(""https://docs.google.com/spreadsheets/d/1XWAQStnk-4SwqDmLtmXYiTMKHgktTP8We1SCoS47DrQ/edit?usp=sharing"",""จัดที่ดิน!E35"")"),33)</f>
        <v>33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IFERROR(__xludf.DUMMYFUNCTION("IMPORTRANGE(""https://docs.google.com/spreadsheets/d/1QqKyyYR6Q21VydFLVH3TRQUabQu_ym0Zz7PgGX0-kHA/edit?usp=sharing"",""แผน!EI35"")"),300)</f>
        <v>300</v>
      </c>
      <c r="J369" s="863">
        <f ca="1">IFERROR(__xludf.DUMMYFUNCTION("IMPORTRANGE(""https://docs.google.com/spreadsheets/d/1XWAQStnk-4SwqDmLtmXYiTMKHgktTP8We1SCoS47DrQ/edit?usp=sharing"",""จัดที่ดิน!F35"")"),306.01)</f>
        <v>306.01</v>
      </c>
      <c r="K369" s="864">
        <f t="shared" ca="1" si="163"/>
        <v>102.00333333333333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IFERROR(__xludf.DUMMYFUNCTION("IMPORTRANGE(""https://docs.google.com/spreadsheets/d/1QqKyyYR6Q21VydFLVH3TRQUabQu_ym0Zz7PgGX0-kHA/edit?usp=sharing"",""แผน!EJ35"")"),30)</f>
        <v>30</v>
      </c>
      <c r="J370" s="863">
        <f ca="1">IFERROR(__xludf.DUMMYFUNCTION("IMPORTRANGE(""https://docs.google.com/spreadsheets/d/1XWAQStnk-4SwqDmLtmXYiTMKHgktTP8We1SCoS47DrQ/edit?usp=sharing"",""จัดที่ดิน!G35"")"),37)</f>
        <v>37</v>
      </c>
      <c r="K370" s="864">
        <f t="shared" ca="1" si="163"/>
        <v>123.33333333333333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IFERROR(__xludf.DUMMYFUNCTION("IMPORTRANGE(""https://docs.google.com/spreadsheets/d/1XWAQStnk-4SwqDmLtmXYiTMKHgktTP8We1SCoS47DrQ/edit?usp=sharing"",""จัดที่ดิน!H35"")"),335.71)</f>
        <v>335.71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IFERROR(__xludf.DUMMYFUNCTION("IMPORTRANGE(""https://docs.google.com/spreadsheets/d/1QqKyyYR6Q21VydFLVH3TRQUabQu_ym0Zz7PgGX0-kHA/edit?usp=sharing"",""แผน!EJ35"")"),30)</f>
        <v>30</v>
      </c>
      <c r="J372" s="863">
        <f ca="1">IFERROR(__xludf.DUMMYFUNCTION("IMPORTRANGE(""https://docs.google.com/spreadsheets/d/1XWAQStnk-4SwqDmLtmXYiTMKHgktTP8We1SCoS47DrQ/edit?usp=sharing"",""จัดที่ดิน!I35"")"),37)</f>
        <v>37</v>
      </c>
      <c r="K372" s="864">
        <f t="shared" ca="1" si="163"/>
        <v>123.33333333333333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IFERROR(__xludf.DUMMYFUNCTION("IMPORTRANGE(""https://docs.google.com/spreadsheets/d/1XWAQStnk-4SwqDmLtmXYiTMKHgktTP8We1SCoS47DrQ/edit?usp=sharing"",""จัดที่ดิน!J35"")"),335.71)</f>
        <v>335.71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IFERROR(__xludf.DUMMYFUNCTION("IMPORTRANGE(""https://docs.google.com/spreadsheets/d/1QqKyyYR6Q21VydFLVH3TRQUabQu_ym0Zz7PgGX0-kHA/edit?usp=sharing"",""แผน!EU35"")"),400)</f>
        <v>400</v>
      </c>
      <c r="J374" s="1207">
        <f ca="1">J381</f>
        <v>323</v>
      </c>
      <c r="K374" s="1208">
        <f t="shared" ca="1" si="163"/>
        <v>80.75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IFERROR(__xludf.DUMMYFUNCTION("IMPORTRANGE(""https://docs.google.com/spreadsheets/d/1XWAQStnk-4SwqDmLtmXYiTMKHgktTP8We1SCoS47DrQ/edit?usp=sharing"",""จัดที่ดิน!AH35"")"),132)</f>
        <v>132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IFERROR(__xludf.DUMMYFUNCTION("IMPORTRANGE(""https://docs.google.com/spreadsheets/d/1QqKyyYR6Q21VydFLVH3TRQUabQu_ym0Zz7PgGX0-kHA/edit?usp=sharing"",""แผน!ET35"")"),2000)</f>
        <v>2000</v>
      </c>
      <c r="J378" s="863">
        <f ca="1">IFERROR(__xludf.DUMMYFUNCTION("IMPORTRANGE(""https://docs.google.com/spreadsheets/d/1XWAQStnk-4SwqDmLtmXYiTMKHgktTP8We1SCoS47DrQ/edit?usp=sharing"",""จัดที่ดิน!AI35"")"),1366.47)</f>
        <v>1366.47</v>
      </c>
      <c r="K378" s="864">
        <f t="shared" ca="1" si="164"/>
        <v>68.323499999999996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IFERROR(__xludf.DUMMYFUNCTION("IMPORTRANGE(""https://docs.google.com/spreadsheets/d/1QqKyyYR6Q21VydFLVH3TRQUabQu_ym0Zz7PgGX0-kHA/edit?usp=sharing"",""แผน!EU35"")"),400)</f>
        <v>400</v>
      </c>
      <c r="J379" s="863">
        <f ca="1">IFERROR(__xludf.DUMMYFUNCTION("IMPORTRANGE(""https://docs.google.com/spreadsheets/d/1XWAQStnk-4SwqDmLtmXYiTMKHgktTP8We1SCoS47DrQ/edit?usp=sharing"",""จัดที่ดิน!AJ35"")"),323)</f>
        <v>323</v>
      </c>
      <c r="K379" s="864">
        <f t="shared" ca="1" si="164"/>
        <v>80.75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IFERROR(__xludf.DUMMYFUNCTION("IMPORTRANGE(""https://docs.google.com/spreadsheets/d/1XWAQStnk-4SwqDmLtmXYiTMKHgktTP8We1SCoS47DrQ/edit?usp=sharing"",""จัดที่ดิน!AK35"")"),3823.37)</f>
        <v>3823.37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IFERROR(__xludf.DUMMYFUNCTION("IMPORTRANGE(""https://docs.google.com/spreadsheets/d/1QqKyyYR6Q21VydFLVH3TRQUabQu_ym0Zz7PgGX0-kHA/edit?usp=sharing"",""แผน!EU35"")"),400)</f>
        <v>400</v>
      </c>
      <c r="J381" s="863">
        <f ca="1">IFERROR(__xludf.DUMMYFUNCTION("IMPORTRANGE(""https://docs.google.com/spreadsheets/d/1XWAQStnk-4SwqDmLtmXYiTMKHgktTP8We1SCoS47DrQ/edit?usp=sharing"",""จัดที่ดิน!AL35"")"),323)</f>
        <v>323</v>
      </c>
      <c r="K381" s="864">
        <f t="shared" ca="1" si="164"/>
        <v>80.75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IFERROR(__xludf.DUMMYFUNCTION("IMPORTRANGE(""https://docs.google.com/spreadsheets/d/1XWAQStnk-4SwqDmLtmXYiTMKHgktTP8We1SCoS47DrQ/edit?usp=sharing"",""จัดที่ดิน!AM35"")"),3793.97)</f>
        <v>3793.97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IFERROR(__xludf.DUMMYFUNCTION("IMPORTRANGE(""https://docs.google.com/spreadsheets/d/1QqKyyYR6Q21VydFLVH3TRQUabQu_ym0Zz7PgGX0-kHA/edit?usp=sharing"",""แผน!EW35"")"),30)</f>
        <v>30</v>
      </c>
      <c r="J385" s="1117">
        <f ca="1">IFERROR(__xludf.DUMMYFUNCTION("IMPORTRANGE(""https://docs.google.com/spreadsheets/d/1XWAQStnk-4SwqDmLtmXYiTMKHgktTP8We1SCoS47DrQ/edit?usp=sharing"",""จัดที่ดิน!AP35"")"),1)</f>
        <v>1</v>
      </c>
      <c r="K385" s="1215">
        <f ca="1">IF(I385&gt;0,J385*100/I385,0)</f>
        <v>3.3333333333333335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IFERROR(__xludf.DUMMYFUNCTION("IMPORTRANGE(""https://docs.google.com/spreadsheets/d/1MeEWN-I1oV_STSDYn1IFDPWt_1FKiwhDph83XaGc0o0/edit?usp=sharing"",""งบพรบ!FG35"")"),0)</f>
        <v>0</v>
      </c>
      <c r="M394" s="870">
        <f ca="1">IFERROR(__xludf.DUMMYFUNCTION("IMPORTRANGE(""https://docs.google.com/spreadsheets/d/1MeEWN-I1oV_STSDYn1IFDPWt_1FKiwhDph83XaGc0o0/edit?usp=sharing"",""งบพรบ!FL35"")"),0)</f>
        <v>0</v>
      </c>
      <c r="N394" s="870">
        <f ca="1">IFERROR(__xludf.DUMMYFUNCTION("IMPORTRANGE(""https://docs.google.com/spreadsheets/d/1MeEWN-I1oV_STSDYn1IFDPWt_1FKiwhDph83XaGc0o0/edit?usp=sharing"",""งบพรบ!FN35"")"),0)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IFERROR(__xludf.DUMMYFUNCTION("IMPORTRANGE(""https://docs.google.com/spreadsheets/d/1MeEWN-I1oV_STSDYn1IFDPWt_1FKiwhDph83XaGc0o0/edit?usp=sharing"",""งบพรบ!FJ35"")"),0)</f>
        <v>0</v>
      </c>
      <c r="M397" s="870">
        <f ca="1">IFERROR(__xludf.DUMMYFUNCTION("IMPORTRANGE(""https://docs.google.com/spreadsheets/d/1MeEWN-I1oV_STSDYn1IFDPWt_1FKiwhDph83XaGc0o0/edit?usp=sharing"",""งบพรบ!FM35"")"),0)</f>
        <v>0</v>
      </c>
      <c r="N397" s="870">
        <f ca="1">IFERROR(__xludf.DUMMYFUNCTION("IMPORTRANGE(""https://docs.google.com/spreadsheets/d/1MeEWN-I1oV_STSDYn1IFDPWt_1FKiwhDph83XaGc0o0/edit?usp=sharing"",""งบพรบ!FO35"")"),0)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IFERROR(__xludf.DUMMYFUNCTION("IMPORTRANGE(""https://docs.google.com/spreadsheets/d/1MeEWN-I1oV_STSDYn1IFDPWt_1FKiwhDph83XaGc0o0/edit?usp=sharing"",""งบพรบ!FQ35"")"),0)</f>
        <v>0</v>
      </c>
      <c r="M407" s="870">
        <f ca="1">IFERROR(__xludf.DUMMYFUNCTION("IMPORTRANGE(""https://docs.google.com/spreadsheets/d/1MeEWN-I1oV_STSDYn1IFDPWt_1FKiwhDph83XaGc0o0/edit?usp=sharing"",""งบพรบ!FV35"")"),0)</f>
        <v>0</v>
      </c>
      <c r="N407" s="870">
        <f ca="1">IFERROR(__xludf.DUMMYFUNCTION("IMPORTRANGE(""https://docs.google.com/spreadsheets/d/1MeEWN-I1oV_STSDYn1IFDPWt_1FKiwhDph83XaGc0o0/edit?usp=sharing"",""งบพรบ!FX35"")"),0)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IFERROR(__xludf.DUMMYFUNCTION("IMPORTRANGE(""https://docs.google.com/spreadsheets/d/1MeEWN-I1oV_STSDYn1IFDPWt_1FKiwhDph83XaGc0o0/edit?usp=sharing"",""งบพรบ!FT35"")"),0)</f>
        <v>0</v>
      </c>
      <c r="M410" s="870">
        <f ca="1">IFERROR(__xludf.DUMMYFUNCTION("IMPORTRANGE(""https://docs.google.com/spreadsheets/d/1MeEWN-I1oV_STSDYn1IFDPWt_1FKiwhDph83XaGc0o0/edit?usp=sharing"",""งบพรบ!FW35"")"),0)</f>
        <v>0</v>
      </c>
      <c r="N410" s="870">
        <f ca="1">IFERROR(__xludf.DUMMYFUNCTION("IMPORTRANGE(""https://docs.google.com/spreadsheets/d/1MeEWN-I1oV_STSDYn1IFDPWt_1FKiwhDph83XaGc0o0/edit?usp=sharing"",""งบพรบ!FY35"")"),0)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2041444</v>
      </c>
      <c r="M414" s="1257">
        <f t="shared" si="181"/>
        <v>0</v>
      </c>
      <c r="N414" s="1257">
        <f t="shared" si="181"/>
        <v>544467.72</v>
      </c>
      <c r="O414" s="1257">
        <f ca="1">IF(L414&gt;0,N414*100/L414,0)</f>
        <v>26.670715434760886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104060</v>
      </c>
      <c r="M419" s="972">
        <f t="shared" si="184"/>
        <v>0</v>
      </c>
      <c r="N419" s="972">
        <f t="shared" si="184"/>
        <v>76405</v>
      </c>
      <c r="O419" s="972">
        <f t="shared" ref="O419:O424" ca="1" si="185">IF(L419&gt;0,N419*100/L419,0)</f>
        <v>73.423986161829717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104060</v>
      </c>
      <c r="M421" s="870">
        <f t="shared" si="187"/>
        <v>0</v>
      </c>
      <c r="N421" s="870">
        <f t="shared" si="187"/>
        <v>76405</v>
      </c>
      <c r="O421" s="870">
        <f t="shared" ca="1" si="185"/>
        <v>73.423986161829717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104060</v>
      </c>
      <c r="M422" s="864">
        <f t="shared" si="188"/>
        <v>0</v>
      </c>
      <c r="N422" s="864">
        <f t="shared" si="188"/>
        <v>76405</v>
      </c>
      <c r="O422" s="864">
        <f t="shared" ca="1" si="185"/>
        <v>73.423986161829717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IFERROR(__xludf.DUMMYFUNCTION("IMPORTRANGE(""https://docs.google.com/spreadsheets/d/1QqKyyYR6Q21VydFLVH3TRQUabQu_ym0Zz7PgGX0-kHA/edit?usp=sharing"",""แผน!EY35"")"),104060)</f>
        <v>104060</v>
      </c>
      <c r="M424" s="870">
        <v>0</v>
      </c>
      <c r="N424" s="870">
        <f>N425+N426+N427+N428</f>
        <v>76405</v>
      </c>
      <c r="O424" s="870">
        <f t="shared" ca="1" si="185"/>
        <v>73.423986161829717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39965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36440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IFERROR(__xludf.DUMMYFUNCTION("IMPORTRANGE(""https://docs.google.com/spreadsheets/d/1QqKyyYR6Q21VydFLVH3TRQUabQu_ym0Zz7PgGX0-kHA/edit?usp=sharing"",""แผน!FB35"")"),0)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IFERROR(__xludf.DUMMYFUNCTION("IMPORTRANGE(""https://docs.google.com/spreadsheets/d/1QqKyyYR6Q21VydFLVH3TRQUabQu_ym0Zz7PgGX0-kHA/edit?usp=sharing"",""แผน!FC35"")"),20)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IFERROR(__xludf.DUMMYFUNCTION("IMPORTRANGE(""https://docs.google.com/spreadsheets/d/1QqKyyYR6Q21VydFLVH3TRQUabQu_ym0Zz7PgGX0-kHA/edit?usp=sharing"",""แผน!FD35"")"),0)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IFERROR(__xludf.DUMMYFUNCTION("IMPORTRANGE(""https://docs.google.com/spreadsheets/d/1QqKyyYR6Q21VydFLVH3TRQUabQu_ym0Zz7PgGX0-kHA/edit?usp=sharing"",""แผน!FE35"")"),0)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IFERROR(__xludf.DUMMYFUNCTION("IMPORTRANGE(""https://docs.google.com/spreadsheets/d/1QqKyyYR6Q21VydFLVH3TRQUabQu_ym0Zz7PgGX0-kHA/edit?usp=sharing"",""แผน!FF35"")"),20)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IFERROR(__xludf.DUMMYFUNCTION("IMPORTRANGE(""https://docs.google.com/spreadsheets/d/1QqKyyYR6Q21VydFLVH3TRQUabQu_ym0Zz7PgGX0-kHA/edit?usp=sharing"",""แผน!FG35"")"),1)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IFERROR(__xludf.DUMMYFUNCTION("IMPORTRANGE(""https://docs.google.com/spreadsheets/d/1QqKyyYR6Q21VydFLVH3TRQUabQu_ym0Zz7PgGX0-kHA/edit?usp=sharing"",""แผน!FH35"")"),0)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40</v>
      </c>
      <c r="J442" s="1285">
        <f t="shared" si="195"/>
        <v>40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80</v>
      </c>
      <c r="J443" s="1270">
        <f t="shared" si="196"/>
        <v>80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312680</v>
      </c>
      <c r="M444" s="1000">
        <f t="shared" si="197"/>
        <v>0</v>
      </c>
      <c r="N444" s="1000">
        <f t="shared" si="197"/>
        <v>94210</v>
      </c>
      <c r="O444" s="1000">
        <f t="shared" ref="O444:O449" ca="1" si="198">IF(L444&gt;0,N444*100/L444,0)</f>
        <v>30.129845209159523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312680</v>
      </c>
      <c r="M446" s="870">
        <f t="shared" si="200"/>
        <v>0</v>
      </c>
      <c r="N446" s="870">
        <f t="shared" si="200"/>
        <v>94210</v>
      </c>
      <c r="O446" s="870">
        <f t="shared" ca="1" si="198"/>
        <v>30.129845209159523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312680</v>
      </c>
      <c r="M447" s="864">
        <f t="shared" si="201"/>
        <v>0</v>
      </c>
      <c r="N447" s="864">
        <f t="shared" si="201"/>
        <v>94210</v>
      </c>
      <c r="O447" s="864">
        <f t="shared" ca="1" si="198"/>
        <v>30.129845209159523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IFERROR(__xludf.DUMMYFUNCTION("IMPORTRANGE(""https://docs.google.com/spreadsheets/d/1QqKyyYR6Q21VydFLVH3TRQUabQu_ym0Zz7PgGX0-kHA/edit?usp=sharing"",""แผน!FJ35"")"),312680)</f>
        <v>312680</v>
      </c>
      <c r="M449" s="870">
        <v>0</v>
      </c>
      <c r="N449" s="870">
        <f>N450+N451+N452+N453</f>
        <v>94210</v>
      </c>
      <c r="O449" s="870">
        <f t="shared" ca="1" si="198"/>
        <v>30.129845209159523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18530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24100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51580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IFERROR(__xludf.DUMMYFUNCTION("IMPORTRANGE(""https://docs.google.com/spreadsheets/d/1QqKyyYR6Q21VydFLVH3TRQUabQu_ym0Zz7PgGX0-kHA/edit?usp=sharing"",""แผน!FM35"")"),0)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IFERROR(__xludf.DUMMYFUNCTION("IMPORTRANGE(""https://docs.google.com/spreadsheets/d/1QqKyyYR6Q21VydFLVH3TRQUabQu_ym0Zz7PgGX0-kHA/edit?usp=sharing"",""แผน!FN35"")"),40)</f>
        <v>40</v>
      </c>
      <c r="J460" s="992">
        <v>40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IFERROR(__xludf.DUMMYFUNCTION("IMPORTRANGE(""https://docs.google.com/spreadsheets/d/1QqKyyYR6Q21VydFLVH3TRQUabQu_ym0Zz7PgGX0-kHA/edit?usp=sharing"",""แผน!FO35"")"),80)</f>
        <v>80</v>
      </c>
      <c r="J462" s="992">
        <v>80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IFERROR(__xludf.DUMMYFUNCTION("IMPORTRANGE(""https://docs.google.com/spreadsheets/d/1QqKyyYR6Q21VydFLVH3TRQUabQu_ym0Zz7PgGX0-kHA/edit?usp=sharing"",""แผน!FO35"")"),80)</f>
        <v>80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IFERROR(__xludf.DUMMYFUNCTION("IMPORTRANGE(""https://docs.google.com/spreadsheets/d/1QqKyyYR6Q21VydFLVH3TRQUabQu_ym0Zz7PgGX0-kHA/edit?usp=sharing"",""แผน!FN35"")"),40)</f>
        <v>40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IFERROR(__xludf.DUMMYFUNCTION("IMPORTRANGE(""https://docs.google.com/spreadsheets/d/1QqKyyYR6Q21VydFLVH3TRQUabQu_ym0Zz7PgGX0-kHA/edit?usp=sharing"",""แผน!FX35"")"),131)</f>
        <v>131</v>
      </c>
      <c r="J465" s="1285">
        <f>J485+J489+J492</f>
        <v>0</v>
      </c>
      <c r="K465" s="1286">
        <f t="shared" ref="K465:K466" ca="1" si="205">IF(I465&gt;0,J465*100/I465,0)</f>
        <v>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IFERROR(__xludf.DUMMYFUNCTION("IMPORTRANGE(""https://docs.google.com/spreadsheets/d/1QqKyyYR6Q21VydFLVH3TRQUabQu_ym0Zz7PgGX0-kHA/edit?usp=sharing"",""แผน!FW35"")"),1300)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1173398</v>
      </c>
      <c r="M467" s="1000">
        <f t="shared" si="206"/>
        <v>0</v>
      </c>
      <c r="N467" s="1000">
        <f t="shared" si="206"/>
        <v>239505</v>
      </c>
      <c r="O467" s="1000">
        <f t="shared" ref="O467:O472" ca="1" si="207">IF(L467&gt;0,N467*100/L467,0)</f>
        <v>20.411233017271208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1173398</v>
      </c>
      <c r="M469" s="870">
        <f t="shared" si="209"/>
        <v>0</v>
      </c>
      <c r="N469" s="870">
        <f t="shared" si="209"/>
        <v>239505</v>
      </c>
      <c r="O469" s="870">
        <f t="shared" ca="1" si="207"/>
        <v>20.411233017271208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1173398</v>
      </c>
      <c r="M470" s="864">
        <f t="shared" si="210"/>
        <v>0</v>
      </c>
      <c r="N470" s="864">
        <f t="shared" si="210"/>
        <v>239505</v>
      </c>
      <c r="O470" s="864">
        <f t="shared" ca="1" si="207"/>
        <v>20.411233017271208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IFERROR(__xludf.DUMMYFUNCTION("IMPORTRANGE(""https://docs.google.com/spreadsheets/d/1QqKyyYR6Q21VydFLVH3TRQUabQu_ym0Zz7PgGX0-kHA/edit?usp=sharing"",""แผน!FS35"")"),1173398)</f>
        <v>1173398</v>
      </c>
      <c r="M472" s="870">
        <v>0</v>
      </c>
      <c r="N472" s="870">
        <f>N473+N474+N475+N476</f>
        <v>239505</v>
      </c>
      <c r="O472" s="870">
        <f t="shared" ca="1" si="207"/>
        <v>20.411233017271208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162485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4000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52000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21020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IFERROR(__xludf.DUMMYFUNCTION("IMPORTRANGE(""https://docs.google.com/spreadsheets/d/1QqKyyYR6Q21VydFLVH3TRQUabQu_ym0Zz7PgGX0-kHA/edit?usp=sharing"",""แผน!FV35"")"),0)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IFERROR(__xludf.DUMMYFUNCTION("IMPORTRANGE(""https://docs.google.com/spreadsheets/d/1QqKyyYR6Q21VydFLVH3TRQUabQu_ym0Zz7PgGX0-kHA/edit?usp=sharing"",""แผน!FY35"")"),1170)</f>
        <v>1170</v>
      </c>
      <c r="J483" s="992"/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/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IFERROR(__xludf.DUMMYFUNCTION("IMPORTRANGE(""https://docs.google.com/spreadsheets/d/1QqKyyYR6Q21VydFLVH3TRQUabQu_ym0Zz7PgGX0-kHA/edit?usp=sharing"",""แผน!FZ35"")"),117)</f>
        <v>117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IFERROR(__xludf.DUMMYFUNCTION("IMPORTRANGE(""https://docs.google.com/spreadsheets/d/1QqKyyYR6Q21VydFLVH3TRQUabQu_ym0Zz7PgGX0-kHA/edit?usp=sharing"",""แผน!GA35"")"),130)</f>
        <v>130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13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IFERROR(__xludf.DUMMYFUNCTION("IMPORTRANGE(""https://docs.google.com/spreadsheets/d/1QqKyyYR6Q21VydFLVH3TRQUabQu_ym0Zz7PgGX0-kHA/edit?usp=sharing"",""แผน!GB35"")"),13)</f>
        <v>13</v>
      </c>
      <c r="J489" s="992">
        <v>0</v>
      </c>
      <c r="K489" s="864">
        <f ca="1">IF(I489&gt;0,J489*100/I489,0)</f>
        <v>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1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IFERROR(__xludf.DUMMYFUNCTION("IMPORTRANGE(""https://docs.google.com/spreadsheets/d/1QqKyyYR6Q21VydFLVH3TRQUabQu_ym0Zz7PgGX0-kHA/edit?usp=sharing"",""แผน!GC35"")"),1)</f>
        <v>1</v>
      </c>
      <c r="J492" s="992">
        <v>0</v>
      </c>
      <c r="K492" s="864">
        <f ca="1">IF(I492&gt;0,J492*100/I492,0)</f>
        <v>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IFERROR(__xludf.DUMMYFUNCTION("IMPORTRANGE(""https://docs.google.com/spreadsheets/d/1QqKyyYR6Q21VydFLVH3TRQUabQu_ym0Zz7PgGX0-kHA/edit?usp=sharing"",""แผน!FY35"")"),1170)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IFERROR(__xludf.DUMMYFUNCTION("IMPORTRANGE(""https://docs.google.com/spreadsheets/d/1QqKyyYR6Q21VydFLVH3TRQUabQu_ym0Zz7PgGX0-kHA/edit?usp=sharing"",""แผน!GA35"")"),130)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IFERROR(__xludf.DUMMYFUNCTION("IMPORTRANGE(""https://docs.google.com/spreadsheets/d/1QqKyyYR6Q21VydFLVH3TRQUabQu_ym0Zz7PgGX0-kHA/edit?usp=sharing"",""แผน!GQ35"")"),0)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IFERROR(__xludf.DUMMYFUNCTION("IMPORTRANGE(""https://docs.google.com/spreadsheets/d/1QqKyyYR6Q21VydFLVH3TRQUabQu_ym0Zz7PgGX0-kHA/edit?usp=sharing"",""แผน!GT35"")"),0)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IFERROR(__xludf.DUMMYFUNCTION("IMPORTRANGE(""https://docs.google.com/spreadsheets/d/1QqKyyYR6Q21VydFLVH3TRQUabQu_ym0Zz7PgGX0-kHA/edit?usp=sharing"",""แผน!GU35"")"),0)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IFERROR(__xludf.DUMMYFUNCTION("IMPORTRANGE(""https://docs.google.com/spreadsheets/d/1QqKyyYR6Q21VydFLVH3TRQUabQu_ym0Zz7PgGX0-kHA/edit?usp=sharing"",""แผน!GV35"")"),0)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IFERROR(__xludf.DUMMYFUNCTION("IMPORTRANGE(""https://docs.google.com/spreadsheets/d/1QqKyyYR6Q21VydFLVH3TRQUabQu_ym0Zz7PgGX0-kHA/edit?usp=sharing"",""แผน!GW35"")"),0)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IFERROR(__xludf.DUMMYFUNCTION("IMPORTRANGE(""https://docs.google.com/spreadsheets/d/1QqKyyYR6Q21VydFLVH3TRQUabQu_ym0Zz7PgGX0-kHA/edit?usp=sharing"",""แผน!GX35"")"),0)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IFERROR(__xludf.DUMMYFUNCTION("IMPORTRANGE(""https://docs.google.com/spreadsheets/d/1QqKyyYR6Q21VydFLVH3TRQUabQu_ym0Zz7PgGX0-kHA/edit?usp=sharing"",""แผน!GY35"")"),0)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IFERROR(__xludf.DUMMYFUNCTION("IMPORTRANGE(""https://docs.google.com/spreadsheets/d/1QqKyyYR6Q21VydFLVH3TRQUabQu_ym0Zz7PgGX0-kHA/edit?usp=sharing"",""แผน!GZ35"")"),0)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71012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432306</v>
      </c>
      <c r="M544" s="972">
        <f t="shared" si="236"/>
        <v>0</v>
      </c>
      <c r="N544" s="972">
        <f t="shared" si="236"/>
        <v>128258.72</v>
      </c>
      <c r="O544" s="972">
        <f t="shared" ref="O544:O549" ca="1" si="237">IF(L544&gt;0,N544*100/L544,0)</f>
        <v>29.668503328660716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432306</v>
      </c>
      <c r="M546" s="870">
        <f t="shared" si="240"/>
        <v>0</v>
      </c>
      <c r="N546" s="870">
        <f t="shared" si="240"/>
        <v>128258.72</v>
      </c>
      <c r="O546" s="870">
        <f t="shared" ca="1" si="237"/>
        <v>29.668503328660716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432306</v>
      </c>
      <c r="M547" s="864">
        <f t="shared" si="241"/>
        <v>0</v>
      </c>
      <c r="N547" s="864">
        <f t="shared" si="241"/>
        <v>128258.72</v>
      </c>
      <c r="O547" s="864">
        <f t="shared" ca="1" si="237"/>
        <v>29.668503328660716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IFERROR(__xludf.DUMMYFUNCTION("IMPORTRANGE(""https://docs.google.com/spreadsheets/d/1QqKyyYR6Q21VydFLVH3TRQUabQu_ym0Zz7PgGX0-kHA/edit?usp=sharing"",""แผน!HB35"")"),432306)</f>
        <v>432306</v>
      </c>
      <c r="M549" s="870">
        <v>0</v>
      </c>
      <c r="N549" s="870">
        <f>N550+N551+N552+N553+N554</f>
        <v>128258.72</v>
      </c>
      <c r="O549" s="870">
        <f t="shared" ca="1" si="237"/>
        <v>29.668503328660716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49258.720000000001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27000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IFERROR(__xludf.DUMMYFUNCTION("IMPORTRANGE(""https://docs.google.com/spreadsheets/d/1QqKyyYR6Q21VydFLVH3TRQUabQu_ym0Zz7PgGX0-kHA/edit?usp=sharing"",""แผน!HF35"")"),0)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71012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IFERROR(__xludf.DUMMYFUNCTION("IMPORTRANGE(""https://docs.google.com/spreadsheets/d/1QqKyyYR6Q21VydFLVH3TRQUabQu_ym0Zz7PgGX0-kHA/edit?usp=sharing"",""แผน!HH35"")"),71012)</f>
        <v>71012</v>
      </c>
      <c r="J560" s="998">
        <f t="shared" ref="J560:J561" si="247">J562+J564+J566</f>
        <v>0</v>
      </c>
      <c r="K560" s="1142">
        <f t="shared" ca="1" si="246"/>
        <v>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IFERROR(__xludf.DUMMYFUNCTION("IMPORTRANGE(""https://docs.google.com/spreadsheets/d/1QqKyyYR6Q21VydFLVH3TRQUabQu_ym0Zz7PgGX0-kHA/edit?usp=sharing"",""แผน!HG35"")"),6571)</f>
        <v>6571</v>
      </c>
      <c r="J561" s="998">
        <f t="shared" si="247"/>
        <v>0</v>
      </c>
      <c r="K561" s="1142">
        <f t="shared" ca="1" si="246"/>
        <v>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0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0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0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0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0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0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IFERROR(__xludf.DUMMYFUNCTION("IMPORTRANGE(""https://docs.google.com/spreadsheets/d/1QqKyyYR6Q21VydFLVH3TRQUabQu_ym0Zz7PgGX0-kHA/edit?usp=sharing"",""แผน!HH35"")"),71012)</f>
        <v>71012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IFERROR(__xludf.DUMMYFUNCTION("IMPORTRANGE(""https://docs.google.com/spreadsheets/d/1QqKyyYR6Q21VydFLVH3TRQUabQu_ym0Zz7PgGX0-kHA/edit?usp=sharing"",""แผน!HG35"")"),6571)</f>
        <v>6571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IFERROR(__xludf.DUMMYFUNCTION("IMPORTRANGE(""https://docs.google.com/spreadsheets/d/1QqKyyYR6Q21VydFLVH3TRQUabQu_ym0Zz7PgGX0-kHA/edit?usp=sharing"",""แผน!HH35"")"),71012)</f>
        <v>71012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IFERROR(__xludf.DUMMYFUNCTION("IMPORTRANGE(""https://docs.google.com/spreadsheets/d/1QqKyyYR6Q21VydFLVH3TRQUabQu_ym0Zz7PgGX0-kHA/edit?usp=sharing"",""แผน!HG35"")"),6571)</f>
        <v>6571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3008.54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IFERROR(__xludf.DUMMYFUNCTION("IMPORTRANGE(""https://docs.google.com/spreadsheets/d/1QqKyyYR6Q21VydFLVH3TRQUabQu_ym0Zz7PgGX0-kHA/edit?usp=sharing"",""แผน!HJ35"")"),3008.54)</f>
        <v>3008.54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IFERROR(__xludf.DUMMYFUNCTION("IMPORTRANGE(""https://docs.google.com/spreadsheets/d/1QqKyyYR6Q21VydFLVH3TRQUabQu_ym0Zz7PgGX0-kHA/edit?usp=sharing"",""แผน!HI35"")"),222)</f>
        <v>222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IFERROR(__xludf.DUMMYFUNCTION("IMPORTRANGE(""https://docs.google.com/spreadsheets/d/1QqKyyYR6Q21VydFLVH3TRQUabQu_ym0Zz7PgGX0-kHA/edit?usp=sharing"",""แผน!HL35"")"),79)</f>
        <v>79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IFERROR(__xludf.DUMMYFUNCTION("IMPORTRANGE(""https://docs.google.com/spreadsheets/d/1QqKyyYR6Q21VydFLVH3TRQUabQu_ym0Zz7PgGX0-kHA/edit?usp=sharing"",""แผน!HK35"")"),4)</f>
        <v>4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 hidden="1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 hidden="1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0</v>
      </c>
      <c r="M629" s="1000">
        <f t="shared" si="263"/>
        <v>0</v>
      </c>
      <c r="N629" s="1000">
        <f t="shared" si="263"/>
        <v>0</v>
      </c>
      <c r="O629" s="1000">
        <f t="shared" ref="O629:O634" ca="1" si="264">IF(L629&gt;0,N629*100/L629,0)</f>
        <v>0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0</v>
      </c>
      <c r="M631" s="870">
        <f t="shared" si="266"/>
        <v>0</v>
      </c>
      <c r="N631" s="870">
        <f t="shared" si="266"/>
        <v>0</v>
      </c>
      <c r="O631" s="870">
        <f t="shared" ca="1" si="264"/>
        <v>0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 hidden="1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0</v>
      </c>
      <c r="M632" s="864">
        <f t="shared" si="267"/>
        <v>0</v>
      </c>
      <c r="N632" s="864">
        <f t="shared" si="267"/>
        <v>0</v>
      </c>
      <c r="O632" s="864">
        <f t="shared" ca="1" si="264"/>
        <v>0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IFERROR(__xludf.DUMMYFUNCTION("IMPORTRANGE(""https://docs.google.com/spreadsheets/d/1QqKyyYR6Q21VydFLVH3TRQUabQu_ym0Zz7PgGX0-kHA/edit?usp=sharing"",""แผน!HN35"")"),0)</f>
        <v>0</v>
      </c>
      <c r="M634" s="870">
        <v>0</v>
      </c>
      <c r="N634" s="870">
        <f>N635+N636+N637+N638</f>
        <v>0</v>
      </c>
      <c r="O634" s="870">
        <f t="shared" ca="1" si="264"/>
        <v>0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 hidden="1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 hidden="1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 hidden="1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 hidden="1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 hidden="1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IFERROR(__xludf.DUMMYFUNCTION("IMPORTRANGE(""https://docs.google.com/spreadsheets/d/1QqKyyYR6Q21VydFLVH3TRQUabQu_ym0Zz7PgGX0-kHA/edit?usp=sharing"",""แผน!HQ35"")"),0)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 hidden="1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 hidden="1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IFERROR(__xludf.DUMMYFUNCTION("IMPORTRANGE(""https://docs.google.com/spreadsheets/d/1QqKyyYR6Q21VydFLVH3TRQUabQu_ym0Zz7PgGX0-kHA/edit?usp=sharing"",""แผน!HR35"")"),0)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 hidden="1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IFERROR(__xludf.DUMMYFUNCTION("IMPORTRANGE(""https://docs.google.com/spreadsheets/d/1QqKyyYR6Q21VydFLVH3TRQUabQu_ym0Zz7PgGX0-kHA/edit?usp=sharing"",""แผน!HR35"")"),0)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 hidden="1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IFERROR(__xludf.DUMMYFUNCTION("IMPORTRANGE(""https://docs.google.com/spreadsheets/d/1XWAQStnk-4SwqDmLtmXYiTMKHgktTP8We1SCoS47DrQ/edit?usp=sharing"",""จัดที่ดิน!AS35"")"),0)</f>
        <v>0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 hidden="1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IFERROR(__xludf.DUMMYFUNCTION("IMPORTRANGE(""https://docs.google.com/spreadsheets/d/1XWAQStnk-4SwqDmLtmXYiTMKHgktTP8We1SCoS47DrQ/edit?usp=sharing"",""จัดที่ดิน!AT35"")"),0)</f>
        <v>0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 hidden="1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IFERROR(__xludf.DUMMYFUNCTION("IMPORTRANGE(""https://docs.google.com/spreadsheets/d/1QqKyyYR6Q21VydFLVH3TRQUabQu_ym0Zz7PgGX0-kHA/edit?usp=sharing"",""แผน!HS35"")"),0)</f>
        <v>0</v>
      </c>
      <c r="J647" s="863">
        <f ca="1">IFERROR(__xludf.DUMMYFUNCTION("IMPORTRANGE(""https://docs.google.com/spreadsheets/d/1XWAQStnk-4SwqDmLtmXYiTMKHgktTP8We1SCoS47DrQ/edit?usp=sharing"",""จัดที่ดิน!AU35"")"),0)</f>
        <v>0</v>
      </c>
      <c r="K647" s="978">
        <f t="shared" ca="1" si="271"/>
        <v>0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 hidden="1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IFERROR(__xludf.DUMMYFUNCTION("IMPORTRANGE(""https://docs.google.com/spreadsheets/d/1XWAQStnk-4SwqDmLtmXYiTMKHgktTP8We1SCoS47DrQ/edit?usp=sharing"",""จัดที่ดิน!AV35"")"),0)</f>
        <v>0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 hidden="1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IFERROR(__xludf.DUMMYFUNCTION("IMPORTRANGE(""https://docs.google.com/spreadsheets/d/1QqKyyYR6Q21VydFLVH3TRQUabQu_ym0Zz7PgGX0-kHA/edit?usp=sharing"",""แผน!HS35"")"),0)</f>
        <v>0</v>
      </c>
      <c r="J649" s="863">
        <f ca="1">IFERROR(__xludf.DUMMYFUNCTION("IMPORTRANGE(""https://docs.google.com/spreadsheets/d/1XWAQStnk-4SwqDmLtmXYiTMKHgktTP8We1SCoS47DrQ/edit?usp=sharing"",""จัดที่ดิน!AW35"")"),0)</f>
        <v>0</v>
      </c>
      <c r="K649" s="978">
        <f t="shared" ca="1" si="271"/>
        <v>0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 hidden="1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IFERROR(__xludf.DUMMYFUNCTION("IMPORTRANGE(""https://docs.google.com/spreadsheets/d/1XWAQStnk-4SwqDmLtmXYiTMKHgktTP8We1SCoS47DrQ/edit?usp=sharing"",""จัดที่ดิน!AX35"")"),0)</f>
        <v>0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 hidden="1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IFERROR(__xludf.DUMMYFUNCTION("IMPORTRANGE(""https://docs.google.com/spreadsheets/d/1QqKyyYR6Q21VydFLVH3TRQUabQu_ym0Zz7PgGX0-kHA/edit?usp=sharing"",""แผน!HS35"")"),0)</f>
        <v>0</v>
      </c>
      <c r="J651" s="863">
        <f ca="1">IFERROR(__xludf.DUMMYFUNCTION("IMPORTRANGE(""https://docs.google.com/spreadsheets/d/1XWAQStnk-4SwqDmLtmXYiTMKHgktTP8We1SCoS47DrQ/edit?usp=sharing"",""จัดที่ดิน!AY35"")"),0)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 hidden="1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IFERROR(__xludf.DUMMYFUNCTION("IMPORTRANGE(""https://docs.google.com/spreadsheets/d/1XWAQStnk-4SwqDmLtmXYiTMKHgktTP8We1SCoS47DrQ/edit?usp=sharing"",""จัดที่ดิน!AZ35"")"),0)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50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11000</v>
      </c>
      <c r="M655" s="1000">
        <f t="shared" si="273"/>
        <v>0</v>
      </c>
      <c r="N655" s="1000">
        <f t="shared" si="273"/>
        <v>5089</v>
      </c>
      <c r="O655" s="1000">
        <f t="shared" ref="O655:O660" ca="1" si="274">IF(L655&gt;0,N655*100/L655,0)</f>
        <v>46.263636363636365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11000</v>
      </c>
      <c r="M657" s="870">
        <f t="shared" si="276"/>
        <v>0</v>
      </c>
      <c r="N657" s="870">
        <f t="shared" si="276"/>
        <v>5089</v>
      </c>
      <c r="O657" s="870">
        <f t="shared" ca="1" si="274"/>
        <v>46.263636363636365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11000</v>
      </c>
      <c r="M658" s="864">
        <f t="shared" si="277"/>
        <v>0</v>
      </c>
      <c r="N658" s="864">
        <f t="shared" si="277"/>
        <v>5089</v>
      </c>
      <c r="O658" s="864">
        <f t="shared" ca="1" si="274"/>
        <v>46.263636363636365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IFERROR(__xludf.DUMMYFUNCTION("IMPORTRANGE(""https://docs.google.com/spreadsheets/d/1QqKyyYR6Q21VydFLVH3TRQUabQu_ym0Zz7PgGX0-kHA/edit?usp=sharing"",""แผน!HV35"")"),11000)</f>
        <v>11000</v>
      </c>
      <c r="M660" s="870">
        <v>0</v>
      </c>
      <c r="N660" s="870">
        <f>N661+N662+N663+N664</f>
        <v>5089</v>
      </c>
      <c r="O660" s="870">
        <f t="shared" ca="1" si="274"/>
        <v>46.263636363636365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5089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IFERROR(__xludf.DUMMYFUNCTION("IMPORTRANGE(""https://docs.google.com/spreadsheets/d/1QqKyyYR6Q21VydFLVH3TRQUabQu_ym0Zz7PgGX0-kHA/edit?usp=sharing"",""แผน!IA35"")"),50)</f>
        <v>50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IFERROR(__xludf.DUMMYFUNCTION("IMPORTRANGE(""https://docs.google.com/spreadsheets/d/1QqKyyYR6Q21VydFLVH3TRQUabQu_ym0Zz7PgGX0-kHA/edit?usp=sharing"",""แผน!HZ35"")"),5)</f>
        <v>5</v>
      </c>
      <c r="J670" s="992">
        <v>5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IFERROR(__xludf.DUMMYFUNCTION("IMPORTRANGE(""https://docs.google.com/spreadsheets/d/1QqKyyYR6Q21VydFLVH3TRQUabQu_ym0Zz7PgGX0-kHA/edit?usp=sharing"",""แผน!HZ35"")"),5)</f>
        <v>5</v>
      </c>
      <c r="J671" s="992">
        <v>5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IFERROR(__xludf.DUMMYFUNCTION("IMPORTRANGE(""https://docs.google.com/spreadsheets/d/1QqKyyYR6Q21VydFLVH3TRQUabQu_ym0Zz7PgGX0-kHA/edit?usp=sharing"",""แผน!IB35"")"),0)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8000</v>
      </c>
      <c r="M685" s="1000">
        <f t="shared" si="282"/>
        <v>0</v>
      </c>
      <c r="N685" s="1000">
        <f t="shared" si="282"/>
        <v>1000</v>
      </c>
      <c r="O685" s="1000">
        <f t="shared" ref="O685:O688" ca="1" si="283">IF(L685&gt;0,N685*100/L685,0)</f>
        <v>12.5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8000</v>
      </c>
      <c r="M687" s="870">
        <f t="shared" si="285"/>
        <v>0</v>
      </c>
      <c r="N687" s="870">
        <f t="shared" si="285"/>
        <v>1000</v>
      </c>
      <c r="O687" s="870">
        <f t="shared" ca="1" si="283"/>
        <v>12.5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8000</v>
      </c>
      <c r="M688" s="864">
        <f t="shared" si="286"/>
        <v>0</v>
      </c>
      <c r="N688" s="864">
        <f t="shared" si="286"/>
        <v>1000</v>
      </c>
      <c r="O688" s="864">
        <f t="shared" ca="1" si="283"/>
        <v>12.5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IFERROR(__xludf.DUMMYFUNCTION("IMPORTRANGE(""https://docs.google.com/spreadsheets/d/1QqKyyYR6Q21VydFLVH3TRQUabQu_ym0Zz7PgGX0-kHA/edit?usp=sharing"",""แผน!HW35"")"),8000)</f>
        <v>8000</v>
      </c>
      <c r="M690" s="870">
        <v>0</v>
      </c>
      <c r="N690" s="870">
        <f>N691+N692+N693+N694</f>
        <v>1000</v>
      </c>
      <c r="O690" s="870">
        <f ca="1">IF(L690&gt;0,N690*100/L690,0)</f>
        <v>12.5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1000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IFERROR(__xludf.DUMMYFUNCTION("IMPORTRANGE(""https://docs.google.com/spreadsheets/d/1QqKyyYR6Q21VydFLVH3TRQUabQu_ym0Zz7PgGX0-kHA/edit?usp=sharing"",""แผน!IC35"")"),70)</f>
        <v>70</v>
      </c>
      <c r="J699" s="863">
        <f ca="1">IFERROR(__xludf.DUMMYFUNCTION("IMPORTRANGE(""https://docs.google.com/spreadsheets/d/1XWAQStnk-4SwqDmLtmXYiTMKHgktTP8We1SCoS47DrQ/edit?usp=sharing"",""จัดที่ดิน!BB35"")"),0)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IFERROR(__xludf.DUMMYFUNCTION("IMPORTRANGE(""https://docs.google.com/spreadsheets/d/1QqKyyYR6Q21VydFLVH3TRQUabQu_ym0Zz7PgGX0-kHA/edit?usp=sharing"",""แผน!ID35"")"),0)</f>
        <v>0</v>
      </c>
      <c r="J700" s="863">
        <f ca="1">IFERROR(__xludf.DUMMYFUNCTION("IMPORTRANGE(""https://docs.google.com/spreadsheets/d/1XWAQStnk-4SwqDmLtmXYiTMKHgktTP8We1SCoS47DrQ/edit?usp=sharing"",""จัดที่ดิน!BD35"")"),0)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IFERROR(__xludf.DUMMYFUNCTION("IMPORTRANGE(""https://docs.google.com/spreadsheets/d/1QqKyyYR6Q21VydFLVH3TRQUabQu_ym0Zz7PgGX0-kHA/edit?usp=sharing"",""แผน!IE35"")"),0)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IFERROR(__xludf.DUMMYFUNCTION("IMPORTRANGE(""https://docs.google.com/spreadsheets/d/1QqKyyYR6Q21VydFLVH3TRQUabQu_ym0Zz7PgGX0-kHA/edit?usp=sharing"",""แผน!IF35"")"),0)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IFERROR(__xludf.DUMMYFUNCTION("IMPORTRANGE(""https://docs.google.com/spreadsheets/d/1QqKyyYR6Q21VydFLVH3TRQUabQu_ym0Zz7PgGX0-kHA/edit?usp=sharing"",""แผน!IG35"")"),0)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IFERROR(__xludf.DUMMYFUNCTION("IMPORTRANGE(""https://docs.google.com/spreadsheets/d/1QqKyyYR6Q21VydFLVH3TRQUabQu_ym0Zz7PgGX0-kHA/edit?usp=sharing"",""แผน!IH35"")"),0)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IFERROR(__xludf.DUMMYFUNCTION("IMPORTRANGE(""https://docs.google.com/spreadsheets/d/1XWAQStnk-4SwqDmLtmXYiTMKHgktTP8We1SCoS47DrQ/edit?usp=sharing"",""จัดที่ดิน!BF35"")"),0)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IFERROR(__xludf.DUMMYFUNCTION("IMPORTRANGE(""https://docs.google.com/spreadsheets/d/1XWAQStnk-4SwqDmLtmXYiTMKHgktTP8We1SCoS47DrQ/edit?usp=sharing"",""จัดที่ดิน!BG35"")"),0)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IFERROR(__xludf.DUMMYFUNCTION("IMPORTRANGE(""https://docs.google.com/spreadsheets/d/1QqKyyYR6Q21VydFLVH3TRQUabQu_ym0Zz7PgGX0-kHA/edit?usp=sharing"",""แผน!II35"")"),0)</f>
        <v>0</v>
      </c>
      <c r="J720" s="863">
        <f ca="1">IFERROR(__xludf.DUMMYFUNCTION("IMPORTRANGE(""https://docs.google.com/spreadsheets/d/1XWAQStnk-4SwqDmLtmXYiTMKHgktTP8We1SCoS47DrQ/edit?usp=sharing"",""จัดที่ดิน!BH35"")"),0)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IFERROR(__xludf.DUMMYFUNCTION("IMPORTRANGE(""https://docs.google.com/spreadsheets/d/1QqKyyYR6Q21VydFLVH3TRQUabQu_ym0Zz7PgGX0-kHA/edit?usp=sharing"",""แผน!IJ35"")"),0)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IFERROR(__xludf.DUMMYFUNCTION("IMPORTRANGE(""https://docs.google.com/spreadsheets/d/1QqKyyYR6Q21VydFLVH3TRQUabQu_ym0Zz7PgGX0-kHA/edit?usp=sharing"",""แผน!IK35"")"),0)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IFERROR(__xludf.DUMMYFUNCTION("IMPORTRANGE(""https://docs.google.com/spreadsheets/d/1QqKyyYR6Q21VydFLVH3TRQUabQu_ym0Zz7PgGX0-kHA/edit?usp=sharing"",""แผน!IL35"")"),0)</f>
        <v>0</v>
      </c>
      <c r="J723" s="863">
        <f ca="1">IFERROR(__xludf.DUMMYFUNCTION("IMPORTRANGE(""https://docs.google.com/spreadsheets/d/1XWAQStnk-4SwqDmLtmXYiTMKHgktTP8We1SCoS47DrQ/edit?usp=sharing"",""จัดที่ดิน!BM35"")"),0)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IFERROR(__xludf.DUMMYFUNCTION("IMPORTRANGE(""https://docs.google.com/spreadsheets/d/1XWAQStnk-4SwqDmLtmXYiTMKHgktTP8We1SCoS47DrQ/edit?usp=sharing"",""จัดที่ดิน!BN35"")"),0)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IFERROR(__xludf.DUMMYFUNCTION("IMPORTRANGE(""https://docs.google.com/spreadsheets/d/1QqKyyYR6Q21VydFLVH3TRQUabQu_ym0Zz7PgGX0-kHA/edit?usp=sharing"",""แผน!IM35"")"),0)</f>
        <v>0</v>
      </c>
      <c r="J725" s="863">
        <f ca="1">IFERROR(__xludf.DUMMYFUNCTION("IMPORTRANGE(""https://docs.google.com/spreadsheets/d/1XWAQStnk-4SwqDmLtmXYiTMKHgktTP8We1SCoS47DrQ/edit?usp=sharing"",""จัดที่ดิน!BO35"")"),0)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IFERROR(__xludf.DUMMYFUNCTION("IMPORTRANGE(""https://docs.google.com/spreadsheets/d/1QqKyyYR6Q21VydFLVH3TRQUabQu_ym0Zz7PgGX0-kHA/edit?usp=sharing"",""แผน!IN35"")"),0)</f>
        <v>0</v>
      </c>
      <c r="J726" s="863">
        <f ca="1">IFERROR(__xludf.DUMMYFUNCTION("IMPORTRANGE(""https://docs.google.com/spreadsheets/d/1XWAQStnk-4SwqDmLtmXYiTMKHgktTP8We1SCoS47DrQ/edit?usp=sharing"",""จัดที่ดิน!BR35"")"),0)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IFERROR(__xludf.DUMMYFUNCTION("IMPORTRANGE(""https://docs.google.com/spreadsheets/d/1XWAQStnk-4SwqDmLtmXYiTMKHgktTP8We1SCoS47DrQ/edit?usp=sharing"",""จัดที่ดิน!BS35"")"),0)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IFERROR(__xludf.DUMMYFUNCTION("IMPORTRANGE(""https://docs.google.com/spreadsheets/d/1QqKyyYR6Q21VydFLVH3TRQUabQu_ym0Zz7PgGX0-kHA/edit?usp=sharing"",""แผน!IO35"")"),0)</f>
        <v>0</v>
      </c>
      <c r="J728" s="863">
        <f ca="1">IFERROR(__xludf.DUMMYFUNCTION("IMPORTRANGE(""https://docs.google.com/spreadsheets/d/1XWAQStnk-4SwqDmLtmXYiTMKHgktTP8We1SCoS47DrQ/edit?usp=sharing"",""จัดที่ดิน!BT35"")"),0)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IFERROR(__xludf.DUMMYFUNCTION("IMPORTRANGE(""https://docs.google.com/spreadsheets/d/1QqKyyYR6Q21VydFLVH3TRQUabQu_ym0Zz7PgGX0-kHA/edit?usp=sharing"",""แผน!IP35"")"),0)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/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/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IFERROR(__xludf.DUMMYFUNCTION("IMPORTRANGE(""https://docs.google.com/spreadsheets/d/1QqKyyYR6Q21VydFLVH3TRQUabQu_ym0Zz7PgGX0-kHA/edit?usp=sharing"",""แผน!JJ35"")"),0)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IFERROR(__xludf.DUMMYFUNCTION("IMPORTRANGE(""https://docs.google.com/spreadsheets/d/1QqKyyYR6Q21VydFLVH3TRQUabQu_ym0Zz7PgGX0-kHA/edit?usp=sharing"",""แผน!JN35"")"),0)</f>
        <v>0</v>
      </c>
      <c r="J800" s="977">
        <f ca="1">IFERROR(__xludf.DUMMYFUNCTION("IMPORTRANGE(""https://docs.google.com/spreadsheets/d/1MaWodYyGHDf7siQLGxnXhG4mBNTNIuy296niS2xXulU/edit?usp=sharing"",""RTK!H35"")"),0)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IFERROR(__xludf.DUMMYFUNCTION("IMPORTRANGE(""https://docs.google.com/spreadsheets/d/1MaWodYyGHDf7siQLGxnXhG4mBNTNIuy296niS2xXulU/edit?usp=sharing"",""RTK!I35"")"),0)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863">
        <f ca="1">IFERROR(__xludf.DUMMYFUNCTION("IMPORTRANGE(""https://docs.google.com/spreadsheets/d/19vJNZY_5yjcGF2XGBMNZRCAIB0Kwfpjp8YEOfu-bneM/edit?usp=sharing"",""งานกองทุน!F35"")"),1267295.76)</f>
        <v>1267295.76</v>
      </c>
      <c r="K821" s="864">
        <f t="shared" ref="K821:K828" ca="1" si="335">IF(I821&gt;0,J821*100/I821,0)</f>
        <v>52.504071212778214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IFERROR(__xludf.DUMMYFUNCTION("IMPORTRANGE(""https://docs.google.com/spreadsheets/d/19vJNZY_5yjcGF2XGBMNZRCAIB0Kwfpjp8YEOfu-bneM/edit?usp=sharing"",""งานกองทุน!C35"")"),241)</f>
        <v>241</v>
      </c>
      <c r="J822" s="863">
        <f ca="1">IFERROR(__xludf.DUMMYFUNCTION("IMPORTRANGE(""https://docs.google.com/spreadsheets/d/19vJNZY_5yjcGF2XGBMNZRCAIB0Kwfpjp8YEOfu-bneM/edit?usp=sharing"",""งานกองทุน!E35"")"),126)</f>
        <v>126</v>
      </c>
      <c r="K822" s="864">
        <f t="shared" ca="1" si="335"/>
        <v>52.282157676348547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863">
        <f ca="1">IFERROR(__xludf.DUMMYFUNCTION("IMPORTRANGE(""https://docs.google.com/spreadsheets/d/19vJNZY_5yjcGF2XGBMNZRCAIB0Kwfpjp8YEOfu-bneM/edit?usp=sharing"",""งานกองทุน!K35"")"),270949.67)</f>
        <v>270949.67</v>
      </c>
      <c r="K823" s="864">
        <f t="shared" ca="1" si="335"/>
        <v>10.028595504315252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IFERROR(__xludf.DUMMYFUNCTION("IMPORTRANGE(""https://docs.google.com/spreadsheets/d/19vJNZY_5yjcGF2XGBMNZRCAIB0Kwfpjp8YEOfu-bneM/edit?usp=sharing"",""งานกองทุน!H35"")"),123)</f>
        <v>123</v>
      </c>
      <c r="J824" s="863">
        <f ca="1">IFERROR(__xludf.DUMMYFUNCTION("IMPORTRANGE(""https://docs.google.com/spreadsheets/d/19vJNZY_5yjcGF2XGBMNZRCAIB0Kwfpjp8YEOfu-bneM/edit?usp=sharing"",""งานกองทุน!J35"")"),65)</f>
        <v>65</v>
      </c>
      <c r="K824" s="864">
        <f t="shared" ca="1" si="335"/>
        <v>52.845528455284551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863">
        <f ca="1">IFERROR(__xludf.DUMMYFUNCTION("IMPORTRANGE(""https://docs.google.com/spreadsheets/d/19vJNZY_5yjcGF2XGBMNZRCAIB0Kwfpjp8YEOfu-bneM/edit?usp=sharing"",""งานกองทุน!P35"")"),135705.85)</f>
        <v>135705.85</v>
      </c>
      <c r="K825" s="864">
        <f t="shared" ca="1" si="335"/>
        <v>53.265537117001678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IFERROR(__xludf.DUMMYFUNCTION("IMPORTRANGE(""https://docs.google.com/spreadsheets/d/19vJNZY_5yjcGF2XGBMNZRCAIB0Kwfpjp8YEOfu-bneM/edit?usp=sharing"",""งานกองทุน!M35"")"),22)</f>
        <v>22</v>
      </c>
      <c r="J826" s="863">
        <f ca="1">IFERROR(__xludf.DUMMYFUNCTION("IMPORTRANGE(""https://docs.google.com/spreadsheets/d/19vJNZY_5yjcGF2XGBMNZRCAIB0Kwfpjp8YEOfu-bneM/edit?usp=sharing"",""งานกองทุน!O35"")"),10)</f>
        <v>10</v>
      </c>
      <c r="K826" s="864">
        <f t="shared" ca="1" si="335"/>
        <v>45.454545454545453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IFERROR(__xludf.DUMMYFUNCTION("IMPORTRANGE(""https://docs.google.com/spreadsheets/d/19vJNZY_5yjcGF2XGBMNZRCAIB0Kwfpjp8YEOfu-bneM/edit?usp=sharing"",""งานกองทุน!S35"")"),2500000)</f>
        <v>2500000</v>
      </c>
      <c r="J827" s="863">
        <f ca="1">IFERROR(__xludf.DUMMYFUNCTION("IMPORTRANGE(""https://docs.google.com/spreadsheets/d/19vJNZY_5yjcGF2XGBMNZRCAIB0Kwfpjp8YEOfu-bneM/edit?usp=sharing"",""งานกองทุน!U35"")"),0)</f>
        <v>0</v>
      </c>
      <c r="K827" s="864">
        <f t="shared" ca="1" si="335"/>
        <v>0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IFERROR(__xludf.DUMMYFUNCTION("IMPORTRANGE(""https://docs.google.com/spreadsheets/d/19vJNZY_5yjcGF2XGBMNZRCAIB0Kwfpjp8YEOfu-bneM/edit?usp=sharing"",""งานกองทุน!R35"")"),80)</f>
        <v>80</v>
      </c>
      <c r="J828" s="1117">
        <f ca="1">IFERROR(__xludf.DUMMYFUNCTION("IMPORTRANGE(""https://docs.google.com/spreadsheets/d/19vJNZY_5yjcGF2XGBMNZRCAIB0Kwfpjp8YEOfu-bneM/edit?usp=sharing"",""งานกองทุน!T35"")"),0)</f>
        <v>0</v>
      </c>
      <c r="K828" s="1215">
        <f t="shared" ca="1" si="335"/>
        <v>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20116-1ED5-4E5D-88DE-05AF7BBE9705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2" width="23" style="836" bestFit="1" customWidth="1"/>
    <col min="13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340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12033382</v>
      </c>
      <c r="M8" s="850">
        <f t="shared" ca="1" si="0"/>
        <v>5444887</v>
      </c>
      <c r="N8" s="850">
        <f t="shared" ca="1" si="0"/>
        <v>5848702.6899999995</v>
      </c>
      <c r="O8" s="850">
        <f t="shared" ref="O8:O16" ca="1" si="1">IF(L8&gt;0,N8*100/L8,0)</f>
        <v>48.603980909107683</v>
      </c>
      <c r="P8" s="850">
        <f t="shared" ref="P8:P16" ca="1" si="2">IF(M8&gt;0,N8*100/M8,0)</f>
        <v>107.41642002855156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12033382</v>
      </c>
      <c r="M10" s="857">
        <f t="shared" ca="1" si="3"/>
        <v>5444887</v>
      </c>
      <c r="N10" s="857">
        <f t="shared" ca="1" si="3"/>
        <v>5848702.6899999995</v>
      </c>
      <c r="O10" s="857">
        <f t="shared" ca="1" si="1"/>
        <v>48.603980909107683</v>
      </c>
      <c r="P10" s="857">
        <f t="shared" ca="1" si="2"/>
        <v>107.41642002855156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11622082</v>
      </c>
      <c r="M11" s="864">
        <f t="shared" ca="1" si="4"/>
        <v>5033587</v>
      </c>
      <c r="N11" s="864">
        <f t="shared" ca="1" si="4"/>
        <v>5437402.6899999995</v>
      </c>
      <c r="O11" s="864">
        <f t="shared" ca="1" si="1"/>
        <v>46.785100036292981</v>
      </c>
      <c r="P11" s="864">
        <f t="shared" ca="1" si="2"/>
        <v>108.0224239692291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11622082</v>
      </c>
      <c r="M13" s="870">
        <f t="shared" ca="1" si="5"/>
        <v>5033587</v>
      </c>
      <c r="N13" s="870">
        <f t="shared" ca="1" si="5"/>
        <v>5437402.6899999995</v>
      </c>
      <c r="O13" s="870">
        <f t="shared" ca="1" si="1"/>
        <v>46.785100036292981</v>
      </c>
      <c r="P13" s="870">
        <f t="shared" ca="1" si="2"/>
        <v>108.0224239692291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411300</v>
      </c>
      <c r="M14" s="864">
        <f t="shared" ca="1" si="6"/>
        <v>411300</v>
      </c>
      <c r="N14" s="864">
        <f t="shared" ca="1" si="6"/>
        <v>411300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411300</v>
      </c>
      <c r="M16" s="876">
        <f t="shared" ca="1" si="7"/>
        <v>411300</v>
      </c>
      <c r="N16" s="876">
        <f t="shared" ca="1" si="7"/>
        <v>411300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6554092</v>
      </c>
      <c r="M18" s="850">
        <f t="shared" ca="1" si="8"/>
        <v>5444887</v>
      </c>
      <c r="N18" s="850">
        <f t="shared" ca="1" si="8"/>
        <v>3286602.9299999997</v>
      </c>
      <c r="O18" s="850">
        <f t="shared" ref="O18:O26" ca="1" si="9">IF(L18&gt;0,N18*100/L18,0)</f>
        <v>50.145816232057776</v>
      </c>
      <c r="P18" s="850">
        <f t="shared" ref="P18:P26" ca="1" si="10">IF(M18&gt;0,N18*100/M18,0)</f>
        <v>60.361269756378782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6554092</v>
      </c>
      <c r="M20" s="857">
        <f t="shared" ca="1" si="11"/>
        <v>5444887</v>
      </c>
      <c r="N20" s="857">
        <f t="shared" ca="1" si="11"/>
        <v>3286602.9299999997</v>
      </c>
      <c r="O20" s="857">
        <f t="shared" ca="1" si="9"/>
        <v>50.145816232057776</v>
      </c>
      <c r="P20" s="857">
        <f t="shared" ca="1" si="10"/>
        <v>60.361269756378782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6142792</v>
      </c>
      <c r="M21" s="864">
        <f t="shared" ca="1" si="12"/>
        <v>5033587</v>
      </c>
      <c r="N21" s="864">
        <f t="shared" ca="1" si="12"/>
        <v>2875302.9299999997</v>
      </c>
      <c r="O21" s="864">
        <f t="shared" ca="1" si="9"/>
        <v>46.807753379896305</v>
      </c>
      <c r="P21" s="864">
        <f t="shared" ca="1" si="10"/>
        <v>57.122344959965922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6142792</v>
      </c>
      <c r="M23" s="870">
        <f t="shared" ca="1" si="13"/>
        <v>5033587</v>
      </c>
      <c r="N23" s="870">
        <f t="shared" ca="1" si="13"/>
        <v>2875302.9299999997</v>
      </c>
      <c r="O23" s="870">
        <f t="shared" ca="1" si="9"/>
        <v>46.807753379896305</v>
      </c>
      <c r="P23" s="870">
        <f t="shared" ca="1" si="10"/>
        <v>57.122344959965922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411300</v>
      </c>
      <c r="M24" s="864">
        <f t="shared" ca="1" si="14"/>
        <v>411300</v>
      </c>
      <c r="N24" s="864">
        <f t="shared" ca="1" si="14"/>
        <v>411300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411300</v>
      </c>
      <c r="M26" s="876">
        <f t="shared" ca="1" si="15"/>
        <v>411300</v>
      </c>
      <c r="N26" s="876">
        <f t="shared" ca="1" si="15"/>
        <v>411300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5479290</v>
      </c>
      <c r="M28" s="850">
        <f t="shared" si="16"/>
        <v>0</v>
      </c>
      <c r="N28" s="850">
        <f t="shared" si="16"/>
        <v>2562099.7599999998</v>
      </c>
      <c r="O28" s="850">
        <f t="shared" ref="O28:O37" ca="1" si="17">IF(L28&gt;0,N28*100/L28,0)</f>
        <v>46.759703538232138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5479290</v>
      </c>
      <c r="M30" s="857">
        <f t="shared" si="19"/>
        <v>0</v>
      </c>
      <c r="N30" s="857">
        <f t="shared" si="19"/>
        <v>2562099.7599999998</v>
      </c>
      <c r="O30" s="857">
        <f t="shared" ca="1" si="17"/>
        <v>46.759703538232138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5479290</v>
      </c>
      <c r="M31" s="864">
        <f t="shared" si="20"/>
        <v>0</v>
      </c>
      <c r="N31" s="864">
        <f t="shared" si="20"/>
        <v>2562099.7599999998</v>
      </c>
      <c r="O31" s="864">
        <f t="shared" ca="1" si="17"/>
        <v>46.759703538232138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5479290</v>
      </c>
      <c r="M33" s="870">
        <f t="shared" si="21"/>
        <v>0</v>
      </c>
      <c r="N33" s="870">
        <f t="shared" si="21"/>
        <v>2562099.7599999998</v>
      </c>
      <c r="O33" s="870">
        <f t="shared" ca="1" si="17"/>
        <v>46.759703538232138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6554092</v>
      </c>
      <c r="M37" s="883">
        <f t="shared" ca="1" si="24"/>
        <v>5444887</v>
      </c>
      <c r="N37" s="883">
        <f t="shared" ca="1" si="24"/>
        <v>3286602.9299999997</v>
      </c>
      <c r="O37" s="883">
        <f t="shared" ca="1" si="17"/>
        <v>50.145816232057776</v>
      </c>
      <c r="P37" s="883">
        <f t="shared" ca="1" si="18"/>
        <v>60.361269756378782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710292</v>
      </c>
      <c r="M41" s="908">
        <f t="shared" ca="1" si="25"/>
        <v>725122</v>
      </c>
      <c r="N41" s="908">
        <f t="shared" ca="1" si="25"/>
        <v>388509</v>
      </c>
      <c r="O41" s="908">
        <f t="shared" ref="O41:O49" ca="1" si="26">IF(L41&gt;0,N41*100/L41,0)</f>
        <v>54.697082326705072</v>
      </c>
      <c r="P41" s="908">
        <f t="shared" ref="P41:P49" ca="1" si="27">IF(M41&gt;0,N41*100/M41,0)</f>
        <v>53.578432318975288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710292</v>
      </c>
      <c r="M43" s="914">
        <f t="shared" ca="1" si="28"/>
        <v>725122</v>
      </c>
      <c r="N43" s="914">
        <f t="shared" ca="1" si="28"/>
        <v>388509</v>
      </c>
      <c r="O43" s="914">
        <f t="shared" ca="1" si="26"/>
        <v>54.697082326705072</v>
      </c>
      <c r="P43" s="914">
        <f t="shared" ca="1" si="27"/>
        <v>53.578432318975288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710292</v>
      </c>
      <c r="M44" s="864">
        <f t="shared" ca="1" si="29"/>
        <v>725122</v>
      </c>
      <c r="N44" s="864">
        <f t="shared" ca="1" si="29"/>
        <v>388509</v>
      </c>
      <c r="O44" s="864">
        <f t="shared" ca="1" si="26"/>
        <v>54.697082326705072</v>
      </c>
      <c r="P44" s="864">
        <f t="shared" ca="1" si="27"/>
        <v>53.578432318975288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IFERROR(__xludf.DUMMYFUNCTION("IMPORTRANGE(""https://docs.google.com/spreadsheets/d/1MeEWN-I1oV_STSDYn1IFDPWt_1FKiwhDph83XaGc0o0/edit?usp=sharing"",""งบพรบ!M36"")"),710292)</f>
        <v>710292</v>
      </c>
      <c r="M46" s="870">
        <f ca="1">IFERROR(__xludf.DUMMYFUNCTION("IMPORTRANGE(""https://docs.google.com/spreadsheets/d/1MeEWN-I1oV_STSDYn1IFDPWt_1FKiwhDph83XaGc0o0/edit?usp=sharing"",""งบพรบ!R36"")"),725122)</f>
        <v>725122</v>
      </c>
      <c r="N46" s="870">
        <f ca="1">IFERROR(__xludf.DUMMYFUNCTION("IMPORTRANGE(""https://docs.google.com/spreadsheets/d/1MeEWN-I1oV_STSDYn1IFDPWt_1FKiwhDph83XaGc0o0/edit?usp=sharing"",""งบพรบ!T36"")"),388509)</f>
        <v>388509</v>
      </c>
      <c r="O46" s="870">
        <f t="shared" ca="1" si="26"/>
        <v>54.697082326705072</v>
      </c>
      <c r="P46" s="870">
        <f t="shared" ca="1" si="27"/>
        <v>53.578432318975288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IFERROR(__xludf.DUMMYFUNCTION("IMPORTRANGE(""https://docs.google.com/spreadsheets/d/1MeEWN-I1oV_STSDYn1IFDPWt_1FKiwhDph83XaGc0o0/edit?usp=sharing"",""งบพรบ!P36"")"),0)</f>
        <v>0</v>
      </c>
      <c r="M49" s="876">
        <f ca="1">IFERROR(__xludf.DUMMYFUNCTION("IMPORTRANGE(""https://docs.google.com/spreadsheets/d/1MeEWN-I1oV_STSDYn1IFDPWt_1FKiwhDph83XaGc0o0/edit?usp=sharing"",""งบพรบ!S36"")"),0)</f>
        <v>0</v>
      </c>
      <c r="N49" s="876">
        <f ca="1">IFERROR(__xludf.DUMMYFUNCTION("IMPORTRANGE(""https://docs.google.com/spreadsheets/d/1MeEWN-I1oV_STSDYn1IFDPWt_1FKiwhDph83XaGc0o0/edit?usp=sharing"",""งบพรบ!U36"")"),0)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1133200</v>
      </c>
      <c r="M53" s="936">
        <f t="shared" ca="1" si="31"/>
        <v>857375</v>
      </c>
      <c r="N53" s="936">
        <f t="shared" ca="1" si="31"/>
        <v>628165.76</v>
      </c>
      <c r="O53" s="936">
        <f t="shared" ref="O53:O61" ca="1" si="32">IF(L53&gt;0,N53*100/L53,0)</f>
        <v>55.432912107306741</v>
      </c>
      <c r="P53" s="936">
        <f t="shared" ref="P53:P61" ca="1" si="33">IF(M53&gt;0,N53*100/M53,0)</f>
        <v>73.266162414346113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1133200</v>
      </c>
      <c r="M55" s="942">
        <f t="shared" ca="1" si="34"/>
        <v>857375</v>
      </c>
      <c r="N55" s="942">
        <f t="shared" ca="1" si="34"/>
        <v>628165.76</v>
      </c>
      <c r="O55" s="942">
        <f t="shared" ca="1" si="32"/>
        <v>55.432912107306741</v>
      </c>
      <c r="P55" s="942">
        <f t="shared" ca="1" si="33"/>
        <v>73.266162414346113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1103300</v>
      </c>
      <c r="M56" s="864">
        <f t="shared" ca="1" si="35"/>
        <v>827475</v>
      </c>
      <c r="N56" s="864">
        <f t="shared" ca="1" si="35"/>
        <v>598265.76</v>
      </c>
      <c r="O56" s="864">
        <f t="shared" ca="1" si="32"/>
        <v>54.225121000634459</v>
      </c>
      <c r="P56" s="864">
        <f t="shared" ca="1" si="33"/>
        <v>72.300161334179279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IFERROR(__xludf.DUMMYFUNCTION("IMPORTRANGE(""https://docs.google.com/spreadsheets/d/1MeEWN-I1oV_STSDYn1IFDPWt_1FKiwhDph83XaGc0o0/edit?usp=sharing"",""งบพรบ!W36"")"),1103300)</f>
        <v>1103300</v>
      </c>
      <c r="M58" s="870">
        <f ca="1">IFERROR(__xludf.DUMMYFUNCTION("IMPORTRANGE(""https://docs.google.com/spreadsheets/d/1MeEWN-I1oV_STSDYn1IFDPWt_1FKiwhDph83XaGc0o0/edit?usp=sharing"",""งบพรบ!AB36"")"),827475)</f>
        <v>827475</v>
      </c>
      <c r="N58" s="870">
        <f ca="1">IFERROR(__xludf.DUMMYFUNCTION("IMPORTRANGE(""https://docs.google.com/spreadsheets/d/1MeEWN-I1oV_STSDYn1IFDPWt_1FKiwhDph83XaGc0o0/edit?usp=sharing"",""งบพรบ!AD36"")"),598265.76)</f>
        <v>598265.76</v>
      </c>
      <c r="O58" s="870">
        <f t="shared" ca="1" si="32"/>
        <v>54.225121000634459</v>
      </c>
      <c r="P58" s="870">
        <f t="shared" ca="1" si="33"/>
        <v>72.300161334179279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29900</v>
      </c>
      <c r="M59" s="864">
        <f t="shared" ca="1" si="36"/>
        <v>29900</v>
      </c>
      <c r="N59" s="864">
        <f t="shared" ca="1" si="36"/>
        <v>29900</v>
      </c>
      <c r="O59" s="864">
        <f t="shared" ca="1" si="32"/>
        <v>100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IFERROR(__xludf.DUMMYFUNCTION("IMPORTRANGE(""https://docs.google.com/spreadsheets/d/1MeEWN-I1oV_STSDYn1IFDPWt_1FKiwhDph83XaGc0o0/edit?usp=sharing"",""งบพรบ!Z36"")"),29900)</f>
        <v>29900</v>
      </c>
      <c r="M61" s="876">
        <f ca="1">IFERROR(__xludf.DUMMYFUNCTION("IMPORTRANGE(""https://docs.google.com/spreadsheets/d/1MeEWN-I1oV_STSDYn1IFDPWt_1FKiwhDph83XaGc0o0/edit?usp=sharing"",""งบพรบ!AC36"")"),29900)</f>
        <v>29900</v>
      </c>
      <c r="N61" s="876">
        <f ca="1">IFERROR(__xludf.DUMMYFUNCTION("IMPORTRANGE(""https://docs.google.com/spreadsheets/d/1MeEWN-I1oV_STSDYn1IFDPWt_1FKiwhDph83XaGc0o0/edit?usp=sharing"",""งบพรบ!AE36"")"),29900)</f>
        <v>29900</v>
      </c>
      <c r="O61" s="876">
        <f t="shared" ca="1" si="32"/>
        <v>100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IFERROR(__xludf.DUMMYFUNCTION("IMPORTRANGE(""https://docs.google.com/spreadsheets/d/1MeEWN-I1oV_STSDYn1IFDPWt_1FKiwhDph83XaGc0o0/edit?usp=sharing"",""งบพรบ!AG36"")"),0)</f>
        <v>0</v>
      </c>
      <c r="M71" s="870">
        <f ca="1">IFERROR(__xludf.DUMMYFUNCTION("IMPORTRANGE(""https://docs.google.com/spreadsheets/d/1MeEWN-I1oV_STSDYn1IFDPWt_1FKiwhDph83XaGc0o0/edit?usp=sharing"",""งบพรบ!AL36"")"),0)</f>
        <v>0</v>
      </c>
      <c r="N71" s="870">
        <f ca="1">IFERROR(__xludf.DUMMYFUNCTION("IMPORTRANGE(""https://docs.google.com/spreadsheets/d/1MeEWN-I1oV_STSDYn1IFDPWt_1FKiwhDph83XaGc0o0/edit?usp=sharing"",""งบพรบ!AN36"")"),0)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IFERROR(__xludf.DUMMYFUNCTION("IMPORTRANGE(""https://docs.google.com/spreadsheets/d/1MeEWN-I1oV_STSDYn1IFDPWt_1FKiwhDph83XaGc0o0/edit?usp=sharing"",""งบพรบ!AJ36"")"),0)</f>
        <v>0</v>
      </c>
      <c r="M74" s="870">
        <f ca="1">IFERROR(__xludf.DUMMYFUNCTION("IMPORTRANGE(""https://docs.google.com/spreadsheets/d/1MeEWN-I1oV_STSDYn1IFDPWt_1FKiwhDph83XaGc0o0/edit?usp=sharing"",""งบพรบ!AM36"")"),0)</f>
        <v>0</v>
      </c>
      <c r="N74" s="870">
        <f ca="1">IFERROR(__xludf.DUMMYFUNCTION("IMPORTRANGE(""https://docs.google.com/spreadsheets/d/1MeEWN-I1oV_STSDYn1IFDPWt_1FKiwhDph83XaGc0o0/edit?usp=sharing"",""งบพรบ!AO36"")"),0)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IFERROR(__xludf.DUMMYFUNCTION("IMPORTRANGE(""https://docs.google.com/spreadsheets/d/1QqKyyYR6Q21VydFLVH3TRQUabQu_ym0Zz7PgGX0-kHA/edit?usp=sharing"",""แผน!H36"")"),0)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IFERROR(__xludf.DUMMYFUNCTION("IMPORTRANGE(""https://docs.google.com/spreadsheets/d/1QqKyyYR6Q21VydFLVH3TRQUabQu_ym0Zz7PgGX0-kHA/edit?usp=sharing"",""แผน!I36"")"),0)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IFERROR(__xludf.DUMMYFUNCTION("IMPORTRANGE(""https://docs.google.com/spreadsheets/d/1QqKyyYR6Q21VydFLVH3TRQUabQu_ym0Zz7PgGX0-kHA/edit?usp=sharing"",""แผน!F36"")"),0)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IFERROR(__xludf.DUMMYFUNCTION("IMPORTRANGE(""https://docs.google.com/spreadsheets/d/1QqKyyYR6Q21VydFLVH3TRQUabQu_ym0Zz7PgGX0-kHA/edit?usp=sharing"",""แผน!G36"")"),0)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IFERROR(__xludf.DUMMYFUNCTION("IMPORTRANGE(""https://docs.google.com/spreadsheets/d/1QqKyyYR6Q21VydFLVH3TRQUabQu_ym0Zz7PgGX0-kHA/edit?usp=sharing"",""แผน!D36"")"),0)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IFERROR(__xludf.DUMMYFUNCTION("IMPORTRANGE(""https://docs.google.com/spreadsheets/d/1QqKyyYR6Q21VydFLVH3TRQUabQu_ym0Zz7PgGX0-kHA/edit?usp=sharing"",""แผน!E36"")"),0)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IFERROR(__xludf.DUMMYFUNCTION("IMPORTRANGE(""https://docs.google.com/spreadsheets/d/1QqKyyYR6Q21VydFLVH3TRQUabQu_ym0Zz7PgGX0-kHA/edit?usp=sharing"",""แผน!J36"")"),0)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75</v>
      </c>
      <c r="J86" s="962">
        <f t="shared" si="47"/>
        <v>75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25</v>
      </c>
      <c r="J87" s="962">
        <f t="shared" si="47"/>
        <v>25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63900</v>
      </c>
      <c r="M88" s="972">
        <f t="shared" ca="1" si="49"/>
        <v>56400</v>
      </c>
      <c r="N88" s="972">
        <f t="shared" ca="1" si="49"/>
        <v>53600</v>
      </c>
      <c r="O88" s="972">
        <f t="shared" ref="O88:O96" ca="1" si="50">IF(L88&gt;0,N88*100/L88,0)</f>
        <v>83.881064162754299</v>
      </c>
      <c r="P88" s="972">
        <f t="shared" ref="P88:P96" ca="1" si="51">IF(M88&gt;0,N88*100/M88,0)</f>
        <v>95.035460992907801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63900</v>
      </c>
      <c r="M90" s="870">
        <f t="shared" ca="1" si="52"/>
        <v>56400</v>
      </c>
      <c r="N90" s="870">
        <f t="shared" ca="1" si="52"/>
        <v>53600</v>
      </c>
      <c r="O90" s="870">
        <f t="shared" ca="1" si="50"/>
        <v>83.881064162754299</v>
      </c>
      <c r="P90" s="870">
        <f t="shared" ca="1" si="51"/>
        <v>95.035460992907801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63900</v>
      </c>
      <c r="M91" s="864">
        <f t="shared" ca="1" si="53"/>
        <v>56400</v>
      </c>
      <c r="N91" s="864">
        <f t="shared" ca="1" si="53"/>
        <v>53600</v>
      </c>
      <c r="O91" s="864">
        <f t="shared" ca="1" si="50"/>
        <v>83.881064162754299</v>
      </c>
      <c r="P91" s="864">
        <f t="shared" ca="1" si="51"/>
        <v>95.035460992907801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IFERROR(__xludf.DUMMYFUNCTION("IMPORTRANGE(""https://docs.google.com/spreadsheets/d/1MeEWN-I1oV_STSDYn1IFDPWt_1FKiwhDph83XaGc0o0/edit?usp=sharing"",""งบพรบ!AQ36"")"),63900)</f>
        <v>63900</v>
      </c>
      <c r="M93" s="870">
        <f ca="1">IFERROR(__xludf.DUMMYFUNCTION("IMPORTRANGE(""https://docs.google.com/spreadsheets/d/1MeEWN-I1oV_STSDYn1IFDPWt_1FKiwhDph83XaGc0o0/edit?usp=sharing"",""งบพรบ!AV36"")"),56400)</f>
        <v>56400</v>
      </c>
      <c r="N93" s="870">
        <f ca="1">IFERROR(__xludf.DUMMYFUNCTION("IMPORTRANGE(""https://docs.google.com/spreadsheets/d/1MeEWN-I1oV_STSDYn1IFDPWt_1FKiwhDph83XaGc0o0/edit?usp=sharing"",""งบพรบ!AX36"")"),53600)</f>
        <v>53600</v>
      </c>
      <c r="O93" s="870">
        <f t="shared" ca="1" si="50"/>
        <v>83.881064162754299</v>
      </c>
      <c r="P93" s="870">
        <f t="shared" ca="1" si="51"/>
        <v>95.035460992907801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IFERROR(__xludf.DUMMYFUNCTION("IMPORTRANGE(""https://docs.google.com/spreadsheets/d/1MeEWN-I1oV_STSDYn1IFDPWt_1FKiwhDph83XaGc0o0/edit?usp=sharing"",""งบพรบ!AT36"")"),0)</f>
        <v>0</v>
      </c>
      <c r="M96" s="870">
        <f ca="1">IFERROR(__xludf.DUMMYFUNCTION("IMPORTRANGE(""https://docs.google.com/spreadsheets/d/1MeEWN-I1oV_STSDYn1IFDPWt_1FKiwhDph83XaGc0o0/edit?usp=sharing"",""งบพรบ!AW36"")"),0)</f>
        <v>0</v>
      </c>
      <c r="N96" s="870">
        <f ca="1">IFERROR(__xludf.DUMMYFUNCTION("IMPORTRANGE(""https://docs.google.com/spreadsheets/d/1MeEWN-I1oV_STSDYn1IFDPWt_1FKiwhDph83XaGc0o0/edit?usp=sharing"",""งบพรบ!AY36"")"),0)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IFERROR(__xludf.DUMMYFUNCTION("IMPORTRANGE(""https://docs.google.com/spreadsheets/d/1QqKyyYR6Q21VydFLVH3TRQUabQu_ym0Zz7PgGX0-kHA/edit?usp=sharing"",""แผน!K36"")"),75)</f>
        <v>75</v>
      </c>
      <c r="J98" s="863">
        <f>J102</f>
        <v>75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IFERROR(__xludf.DUMMYFUNCTION("IMPORTRANGE(""https://docs.google.com/spreadsheets/d/1QqKyyYR6Q21VydFLVH3TRQUabQu_ym0Zz7PgGX0-kHA/edit?usp=sharing"",""แผน!L36"")"),25)</f>
        <v>25</v>
      </c>
      <c r="J99" s="863">
        <f>J104</f>
        <v>25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IFERROR(__xludf.DUMMYFUNCTION("IMPORTRANGE(""https://docs.google.com/spreadsheets/d/1QqKyyYR6Q21VydFLVH3TRQUabQu_ym0Zz7PgGX0-kHA/edit?usp=sharing"",""แผน!M36"")"),0)</f>
        <v>0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IFERROR(__xludf.DUMMYFUNCTION("IMPORTRANGE(""https://docs.google.com/spreadsheets/d/1QqKyyYR6Q21VydFLVH3TRQUabQu_ym0Zz7PgGX0-kHA/edit?usp=sharing"",""แผน!N36"")"),75)</f>
        <v>75</v>
      </c>
      <c r="J102" s="992">
        <v>75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IFERROR(__xludf.DUMMYFUNCTION("IMPORTRANGE(""https://docs.google.com/spreadsheets/d/1QqKyyYR6Q21VydFLVH3TRQUabQu_ym0Zz7PgGX0-kHA/edit?usp=sharing"",""แผน!O36"")"),25)</f>
        <v>25</v>
      </c>
      <c r="J103" s="992">
        <v>25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IFERROR(__xludf.DUMMYFUNCTION("IMPORTRANGE(""https://docs.google.com/spreadsheets/d/1QqKyyYR6Q21VydFLVH3TRQUabQu_ym0Zz7PgGX0-kHA/edit?usp=sharing"",""แผน!O36"")"),25)</f>
        <v>25</v>
      </c>
      <c r="J104" s="992">
        <v>25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IFERROR(__xludf.DUMMYFUNCTION("IMPORTRANGE(""https://docs.google.com/spreadsheets/d/1QqKyyYR6Q21VydFLVH3TRQUabQu_ym0Zz7PgGX0-kHA/edit?usp=sharing"",""แผน!P36"")"),0)</f>
        <v>0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IFERROR(__xludf.DUMMYFUNCTION("IMPORTRANGE(""https://docs.google.com/spreadsheets/d/1QqKyyYR6Q21VydFLVH3TRQUabQu_ym0Zz7PgGX0-kHA/edit?usp=sharing"",""แผน!P36"")"),0)</f>
        <v>0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IFERROR(__xludf.DUMMYFUNCTION("IMPORTRANGE(""https://docs.google.com/spreadsheets/d/1QqKyyYR6Q21VydFLVH3TRQUabQu_ym0Zz7PgGX0-kHA/edit?usp=sharing"",""แผน!Q36"")"),0)</f>
        <v>0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IFERROR(__xludf.DUMMYFUNCTION("IMPORTRANGE(""https://docs.google.com/spreadsheets/d/1QqKyyYR6Q21VydFLVH3TRQUabQu_ym0Zz7PgGX0-kHA/edit?usp=sharing"",""แผน!Q36"")"),0)</f>
        <v>0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IFERROR(__xludf.DUMMYFUNCTION("IMPORTRANGE(""https://docs.google.com/spreadsheets/d/1QqKyyYR6Q21VydFLVH3TRQUabQu_ym0Zz7PgGX0-kHA/edit?usp=sharing"",""แผน!R36"")"),25)</f>
        <v>25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0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IFERROR(__xludf.DUMMYFUNCTION("IMPORTRANGE(""https://docs.google.com/spreadsheets/d/1QqKyyYR6Q21VydFLVH3TRQUabQu_ym0Zz7PgGX0-kHA/edit?usp=sharing"",""แผน!R36"")"),25)</f>
        <v>25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IFERROR(__xludf.DUMMYFUNCTION("IMPORTRANGE(""https://docs.google.com/spreadsheets/d/1QqKyyYR6Q21VydFLVH3TRQUabQu_ym0Zz7PgGX0-kHA/edit?usp=sharing"",""แผน!R36"")"),25)</f>
        <v>25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IFERROR(__xludf.DUMMYFUNCTION("IMPORTRANGE(""https://docs.google.com/spreadsheets/d/1QqKyyYR6Q21VydFLVH3TRQUabQu_ym0Zz7PgGX0-kHA/edit?usp=sharing"",""แผน!S36"")"),0)</f>
        <v>0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IFERROR(__xludf.DUMMYFUNCTION("IMPORTRANGE(""https://docs.google.com/spreadsheets/d/1QqKyyYR6Q21VydFLVH3TRQUabQu_ym0Zz7PgGX0-kHA/edit?usp=sharing"",""แผน!T36"")"),0)</f>
        <v>0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>
      <c r="A118" s="957"/>
      <c r="B118" s="958" t="s">
        <v>65</v>
      </c>
      <c r="C118" s="1006"/>
      <c r="D118" s="960"/>
      <c r="E118" s="959"/>
      <c r="F118" s="959"/>
      <c r="G118" s="961"/>
      <c r="H118" s="205" t="s">
        <v>66</v>
      </c>
      <c r="I118" s="1007">
        <v>2</v>
      </c>
      <c r="J118" s="1007">
        <f>J438+J440</f>
        <v>0</v>
      </c>
      <c r="K118" s="964">
        <f>IF(I118&gt;0,J118*100/I118,0)</f>
        <v>0</v>
      </c>
      <c r="L118" s="964"/>
      <c r="M118" s="964"/>
      <c r="N118" s="964"/>
      <c r="O118" s="964"/>
      <c r="P118" s="964"/>
    </row>
    <row r="119" spans="1:26" ht="19.5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17000</v>
      </c>
      <c r="M119" s="972">
        <f t="shared" ca="1" si="60"/>
        <v>17000</v>
      </c>
      <c r="N119" s="972">
        <f t="shared" ca="1" si="60"/>
        <v>17000</v>
      </c>
      <c r="O119" s="972">
        <f t="shared" ref="O119:O127" ca="1" si="61">IF(L119&gt;0,N119*100/L119,0)</f>
        <v>100</v>
      </c>
      <c r="P119" s="972">
        <f t="shared" ref="P119:P127" ca="1" si="62">IF(M119&gt;0,N119*100/M119,0)</f>
        <v>100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17000</v>
      </c>
      <c r="M121" s="870">
        <f t="shared" ca="1" si="63"/>
        <v>17000</v>
      </c>
      <c r="N121" s="870">
        <f t="shared" ca="1" si="63"/>
        <v>17000</v>
      </c>
      <c r="O121" s="870">
        <f t="shared" ca="1" si="61"/>
        <v>100</v>
      </c>
      <c r="P121" s="870">
        <f t="shared" ca="1" si="62"/>
        <v>100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IFERROR(__xludf.DUMMYFUNCTION("IMPORTRANGE(""https://docs.google.com/spreadsheets/d/1MeEWN-I1oV_STSDYn1IFDPWt_1FKiwhDph83XaGc0o0/edit?usp=sharing"",""งบพรบ!BA36"")"),0)</f>
        <v>0</v>
      </c>
      <c r="M124" s="870">
        <f ca="1">IFERROR(__xludf.DUMMYFUNCTION("IMPORTRANGE(""https://docs.google.com/spreadsheets/d/1MeEWN-I1oV_STSDYn1IFDPWt_1FKiwhDph83XaGc0o0/edit?usp=sharing"",""งบพรบ!BF36"")"),0)</f>
        <v>0</v>
      </c>
      <c r="N124" s="870">
        <f ca="1">IFERROR(__xludf.DUMMYFUNCTION("IMPORTRANGE(""https://docs.google.com/spreadsheets/d/1MeEWN-I1oV_STSDYn1IFDPWt_1FKiwhDph83XaGc0o0/edit?usp=sharing"",""งบพรบ!BH36"")"),0)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17000</v>
      </c>
      <c r="M125" s="864">
        <f t="shared" ca="1" si="65"/>
        <v>17000</v>
      </c>
      <c r="N125" s="864">
        <f t="shared" ca="1" si="65"/>
        <v>17000</v>
      </c>
      <c r="O125" s="864">
        <f t="shared" ca="1" si="61"/>
        <v>100</v>
      </c>
      <c r="P125" s="864">
        <f t="shared" ca="1" si="62"/>
        <v>100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IFERROR(__xludf.DUMMYFUNCTION("IMPORTRANGE(""https://docs.google.com/spreadsheets/d/1MeEWN-I1oV_STSDYn1IFDPWt_1FKiwhDph83XaGc0o0/edit?usp=sharing"",""งบพรบ!BD36"")"),17000)</f>
        <v>17000</v>
      </c>
      <c r="M127" s="870">
        <f ca="1">IFERROR(__xludf.DUMMYFUNCTION("IMPORTRANGE(""https://docs.google.com/spreadsheets/d/1MeEWN-I1oV_STSDYn1IFDPWt_1FKiwhDph83XaGc0o0/edit?usp=sharing"",""งบพรบ!BG36"")"),17000)</f>
        <v>17000</v>
      </c>
      <c r="N127" s="870">
        <f ca="1">IFERROR(__xludf.DUMMYFUNCTION("IMPORTRANGE(""https://docs.google.com/spreadsheets/d/1MeEWN-I1oV_STSDYn1IFDPWt_1FKiwhDph83XaGc0o0/edit?usp=sharing"",""งบพรบ!BI36"")"),17000)</f>
        <v>17000</v>
      </c>
      <c r="O127" s="870">
        <f t="shared" ca="1" si="61"/>
        <v>100</v>
      </c>
      <c r="P127" s="870">
        <f t="shared" ca="1" si="62"/>
        <v>100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2</v>
      </c>
      <c r="J130" s="962">
        <f t="shared" si="66"/>
        <v>2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20</v>
      </c>
      <c r="J131" s="962">
        <f t="shared" ca="1" si="68"/>
        <v>20</v>
      </c>
      <c r="K131" s="963">
        <f t="shared" ca="1" si="67"/>
        <v>100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303310</v>
      </c>
      <c r="M132" s="972">
        <f t="shared" ca="1" si="69"/>
        <v>293700</v>
      </c>
      <c r="N132" s="972">
        <f t="shared" ca="1" si="69"/>
        <v>265975</v>
      </c>
      <c r="O132" s="972">
        <f t="shared" ref="O132:O140" ca="1" si="70">IF(L132&gt;0,N132*100/L132,0)</f>
        <v>87.690811381095244</v>
      </c>
      <c r="P132" s="972">
        <f t="shared" ref="P132:P140" ca="1" si="71">IF(M132&gt;0,N132*100/M132,0)</f>
        <v>90.560095335376232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303310</v>
      </c>
      <c r="M134" s="870">
        <f t="shared" ca="1" si="72"/>
        <v>293700</v>
      </c>
      <c r="N134" s="870">
        <f t="shared" ca="1" si="72"/>
        <v>265975</v>
      </c>
      <c r="O134" s="870">
        <f t="shared" ca="1" si="70"/>
        <v>87.690811381095244</v>
      </c>
      <c r="P134" s="870">
        <f t="shared" ca="1" si="71"/>
        <v>90.560095335376232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97310</v>
      </c>
      <c r="M135" s="864">
        <f t="shared" ca="1" si="73"/>
        <v>87700</v>
      </c>
      <c r="N135" s="864">
        <f t="shared" ca="1" si="73"/>
        <v>59975</v>
      </c>
      <c r="O135" s="864">
        <f t="shared" ca="1" si="70"/>
        <v>61.632925701366766</v>
      </c>
      <c r="P135" s="864">
        <f t="shared" ca="1" si="71"/>
        <v>68.386545039908782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IFERROR(__xludf.DUMMYFUNCTION("IMPORTRANGE(""https://docs.google.com/spreadsheets/d/1MeEWN-I1oV_STSDYn1IFDPWt_1FKiwhDph83XaGc0o0/edit?usp=sharing"",""งบพรบ!BK36"")"),97310)</f>
        <v>97310</v>
      </c>
      <c r="M137" s="870">
        <f ca="1">IFERROR(__xludf.DUMMYFUNCTION("IMPORTRANGE(""https://docs.google.com/spreadsheets/d/1MeEWN-I1oV_STSDYn1IFDPWt_1FKiwhDph83XaGc0o0/edit?usp=sharing"",""งบพรบ!BP36"")"),87700)</f>
        <v>87700</v>
      </c>
      <c r="N137" s="870">
        <f ca="1">IFERROR(__xludf.DUMMYFUNCTION("IMPORTRANGE(""https://docs.google.com/spreadsheets/d/1MeEWN-I1oV_STSDYn1IFDPWt_1FKiwhDph83XaGc0o0/edit?usp=sharing"",""งบพรบ!BR36"")"),59975)</f>
        <v>59975</v>
      </c>
      <c r="O137" s="870">
        <f t="shared" ca="1" si="70"/>
        <v>61.632925701366766</v>
      </c>
      <c r="P137" s="870">
        <f t="shared" ca="1" si="71"/>
        <v>68.386545039908782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206000</v>
      </c>
      <c r="M138" s="864">
        <f t="shared" ca="1" si="74"/>
        <v>206000</v>
      </c>
      <c r="N138" s="864">
        <f t="shared" ca="1" si="74"/>
        <v>206000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IFERROR(__xludf.DUMMYFUNCTION("IMPORTRANGE(""https://docs.google.com/spreadsheets/d/1MeEWN-I1oV_STSDYn1IFDPWt_1FKiwhDph83XaGc0o0/edit?usp=sharing"",""งบพรบ!BN36"")"),206000)</f>
        <v>206000</v>
      </c>
      <c r="M140" s="870">
        <f ca="1">IFERROR(__xludf.DUMMYFUNCTION("IMPORTRANGE(""https://docs.google.com/spreadsheets/d/1MeEWN-I1oV_STSDYn1IFDPWt_1FKiwhDph83XaGc0o0/edit?usp=sharing"",""งบพรบ!BQ36"")"),206000)</f>
        <v>206000</v>
      </c>
      <c r="N140" s="870">
        <f ca="1">IFERROR(__xludf.DUMMYFUNCTION("IMPORTRANGE(""https://docs.google.com/spreadsheets/d/1MeEWN-I1oV_STSDYn1IFDPWt_1FKiwhDph83XaGc0o0/edit?usp=sharing"",""งบพรบ!BS36"")"),206000)</f>
        <v>206000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20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20</v>
      </c>
      <c r="J143" s="863">
        <f ca="1">IF(AND(J144&gt;=I144,J145&gt;=I145),J145,0)</f>
        <v>20</v>
      </c>
      <c r="K143" s="864">
        <f t="shared" ref="K143:K146" ca="1" si="75">IF(I143&gt;0,J143*100/I143,0)</f>
        <v>100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IFERROR(__xludf.DUMMYFUNCTION("IMPORTRANGE(""https://docs.google.com/spreadsheets/d/1QqKyyYR6Q21VydFLVH3TRQUabQu_ym0Zz7PgGX0-kHA/edit?usp=sharing"",""แผน!U36"")"),10)</f>
        <v>10</v>
      </c>
      <c r="J144" s="992">
        <v>10</v>
      </c>
      <c r="K144" s="864">
        <f t="shared" ca="1" si="75"/>
        <v>100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IFERROR(__xludf.DUMMYFUNCTION("IMPORTRANGE(""https://docs.google.com/spreadsheets/d/1QqKyyYR6Q21VydFLVH3TRQUabQu_ym0Zz7PgGX0-kHA/edit?usp=sharing"",""แผน!V36"")"),20)</f>
        <v>20</v>
      </c>
      <c r="J145" s="992">
        <v>20</v>
      </c>
      <c r="K145" s="864">
        <f t="shared" ca="1" si="75"/>
        <v>100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IFERROR(__xludf.DUMMYFUNCTION("IMPORTRANGE(""https://docs.google.com/spreadsheets/d/1QqKyyYR6Q21VydFLVH3TRQUabQu_ym0Zz7PgGX0-kHA/edit?usp=sharing"",""แผน!W36"")"),2)</f>
        <v>2</v>
      </c>
      <c r="J146" s="992">
        <v>2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20</v>
      </c>
      <c r="K148" s="963">
        <f ca="1">IF(I148&gt;0,J148*100/I148,0)</f>
        <v>100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10000</v>
      </c>
      <c r="N149" s="972">
        <f t="shared" ca="1" si="77"/>
        <v>5960</v>
      </c>
      <c r="O149" s="972">
        <f t="shared" ref="O149:O157" ca="1" si="78">IF(L149&gt;0,N149*100/L149,0)</f>
        <v>59.6</v>
      </c>
      <c r="P149" s="972">
        <f t="shared" ref="P149:P157" ca="1" si="79">IF(M149&gt;0,N149*100/M149,0)</f>
        <v>59.6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10000</v>
      </c>
      <c r="N151" s="870">
        <f t="shared" ca="1" si="80"/>
        <v>5960</v>
      </c>
      <c r="O151" s="870">
        <f t="shared" ca="1" si="78"/>
        <v>59.6</v>
      </c>
      <c r="P151" s="870">
        <f t="shared" ca="1" si="79"/>
        <v>59.6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10000</v>
      </c>
      <c r="N152" s="864">
        <f t="shared" ca="1" si="81"/>
        <v>5960</v>
      </c>
      <c r="O152" s="864">
        <f t="shared" ca="1" si="78"/>
        <v>59.6</v>
      </c>
      <c r="P152" s="864">
        <f t="shared" ca="1" si="79"/>
        <v>59.6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IFERROR(__xludf.DUMMYFUNCTION("IMPORTRANGE(""https://docs.google.com/spreadsheets/d/1MeEWN-I1oV_STSDYn1IFDPWt_1FKiwhDph83XaGc0o0/edit?usp=sharing"",""งบพรบ!BU36"")"),10000)</f>
        <v>10000</v>
      </c>
      <c r="M154" s="870">
        <f ca="1">IFERROR(__xludf.DUMMYFUNCTION("IMPORTRANGE(""https://docs.google.com/spreadsheets/d/1MeEWN-I1oV_STSDYn1IFDPWt_1FKiwhDph83XaGc0o0/edit?usp=sharing"",""งบพรบ!BZ36"")"),10000)</f>
        <v>10000</v>
      </c>
      <c r="N154" s="870">
        <f ca="1">IFERROR(__xludf.DUMMYFUNCTION("IMPORTRANGE(""https://docs.google.com/spreadsheets/d/1MeEWN-I1oV_STSDYn1IFDPWt_1FKiwhDph83XaGc0o0/edit?usp=sharing"",""งบพรบ!CB36"")"),5960)</f>
        <v>5960</v>
      </c>
      <c r="O154" s="870">
        <f t="shared" ca="1" si="78"/>
        <v>59.6</v>
      </c>
      <c r="P154" s="870">
        <f t="shared" ca="1" si="79"/>
        <v>59.6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IFERROR(__xludf.DUMMYFUNCTION("IMPORTRANGE(""https://docs.google.com/spreadsheets/d/1MeEWN-I1oV_STSDYn1IFDPWt_1FKiwhDph83XaGc0o0/edit?usp=sharing"",""งบพรบ!BX36"")"),0)</f>
        <v>0</v>
      </c>
      <c r="M157" s="870">
        <f ca="1">IFERROR(__xludf.DUMMYFUNCTION("IMPORTRANGE(""https://docs.google.com/spreadsheets/d/1MeEWN-I1oV_STSDYn1IFDPWt_1FKiwhDph83XaGc0o0/edit?usp=sharing"",""งบพรบ!CA36"")"),0)</f>
        <v>0</v>
      </c>
      <c r="N157" s="870">
        <f ca="1">IFERROR(__xludf.DUMMYFUNCTION("IMPORTRANGE(""https://docs.google.com/spreadsheets/d/1MeEWN-I1oV_STSDYn1IFDPWt_1FKiwhDph83XaGc0o0/edit?usp=sharing"",""งบพรบ!CC36"")"),0)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IFERROR(__xludf.DUMMYFUNCTION("IMPORTRANGE(""https://docs.google.com/spreadsheets/d/1QqKyyYR6Q21VydFLVH3TRQUabQu_ym0Zz7PgGX0-kHA/edit?usp=sharing"",""แผน!X36"")"),20)</f>
        <v>20</v>
      </c>
      <c r="J159" s="992">
        <v>20</v>
      </c>
      <c r="K159" s="864">
        <f ca="1">IF(I159&gt;0,J159*100/I159,0)</f>
        <v>100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10</v>
      </c>
      <c r="J164" s="1041">
        <f t="shared" si="83"/>
        <v>10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21050</v>
      </c>
      <c r="M165" s="972">
        <f t="shared" ca="1" si="84"/>
        <v>32080</v>
      </c>
      <c r="N165" s="972">
        <f t="shared" ca="1" si="84"/>
        <v>32080</v>
      </c>
      <c r="O165" s="972">
        <f t="shared" ref="O165:O173" ca="1" si="85">IF(L165&gt;0,N165*100/L165,0)</f>
        <v>152.39904988123516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21050</v>
      </c>
      <c r="M167" s="870">
        <f t="shared" ca="1" si="87"/>
        <v>32080</v>
      </c>
      <c r="N167" s="870">
        <f t="shared" ca="1" si="87"/>
        <v>32080</v>
      </c>
      <c r="O167" s="870">
        <f t="shared" ca="1" si="85"/>
        <v>152.39904988123516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21050</v>
      </c>
      <c r="M168" s="864">
        <f t="shared" ca="1" si="88"/>
        <v>32080</v>
      </c>
      <c r="N168" s="864">
        <f t="shared" ca="1" si="88"/>
        <v>32080</v>
      </c>
      <c r="O168" s="864">
        <f t="shared" ca="1" si="85"/>
        <v>152.39904988123516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IFERROR(__xludf.DUMMYFUNCTION("IMPORTRANGE(""https://docs.google.com/spreadsheets/d/1MeEWN-I1oV_STSDYn1IFDPWt_1FKiwhDph83XaGc0o0/edit?usp=sharing"",""งบพรบ!CE36"")"),21050)</f>
        <v>21050</v>
      </c>
      <c r="M170" s="870">
        <f ca="1">IFERROR(__xludf.DUMMYFUNCTION("IMPORTRANGE(""https://docs.google.com/spreadsheets/d/1MeEWN-I1oV_STSDYn1IFDPWt_1FKiwhDph83XaGc0o0/edit?usp=sharing"",""งบพรบ!CJ36"")"),32080)</f>
        <v>32080</v>
      </c>
      <c r="N170" s="870">
        <f ca="1">IFERROR(__xludf.DUMMYFUNCTION("IMPORTRANGE(""https://docs.google.com/spreadsheets/d/1MeEWN-I1oV_STSDYn1IFDPWt_1FKiwhDph83XaGc0o0/edit?usp=sharing"",""งบพรบ!CL36"")"),32080)</f>
        <v>32080</v>
      </c>
      <c r="O170" s="870">
        <f t="shared" ca="1" si="85"/>
        <v>152.39904988123516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IFERROR(__xludf.DUMMYFUNCTION("IMPORTRANGE(""https://docs.google.com/spreadsheets/d/1MeEWN-I1oV_STSDYn1IFDPWt_1FKiwhDph83XaGc0o0/edit?usp=sharing"",""งบพรบ!CH36"")"),0)</f>
        <v>0</v>
      </c>
      <c r="M173" s="870">
        <f ca="1">IFERROR(__xludf.DUMMYFUNCTION("IMPORTRANGE(""https://docs.google.com/spreadsheets/d/1MeEWN-I1oV_STSDYn1IFDPWt_1FKiwhDph83XaGc0o0/edit?usp=sharing"",""งบพรบ!CK36"")"),0)</f>
        <v>0</v>
      </c>
      <c r="N173" s="870">
        <f ca="1">IFERROR(__xludf.DUMMYFUNCTION("IMPORTRANGE(""https://docs.google.com/spreadsheets/d/1MeEWN-I1oV_STSDYn1IFDPWt_1FKiwhDph83XaGc0o0/edit?usp=sharing"",""งบพรบ!CM36"")"),0)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10</v>
      </c>
      <c r="J174" s="1048">
        <f t="shared" si="90"/>
        <v>10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IFERROR(__xludf.DUMMYFUNCTION("IMPORTRANGE(""https://docs.google.com/spreadsheets/d/1QqKyyYR6Q21VydFLVH3TRQUabQu_ym0Zz7PgGX0-kHA/edit?usp=sharing"",""แผน!Y36"")"),10)</f>
        <v>10</v>
      </c>
      <c r="J176" s="992">
        <v>10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10</v>
      </c>
      <c r="J180" s="1041">
        <f t="shared" si="91"/>
        <v>10</v>
      </c>
      <c r="K180" s="1042">
        <f ca="1">IF(I180&gt;0,J180*100/I180,0)</f>
        <v>100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583500</v>
      </c>
      <c r="M181" s="972">
        <f t="shared" ca="1" si="92"/>
        <v>434000</v>
      </c>
      <c r="N181" s="972">
        <f t="shared" ca="1" si="92"/>
        <v>238221.35</v>
      </c>
      <c r="O181" s="972">
        <f t="shared" ref="O181:O189" ca="1" si="93">IF(L181&gt;0,N181*100/L181,0)</f>
        <v>40.826281062553555</v>
      </c>
      <c r="P181" s="972">
        <f t="shared" ref="P181:P189" ca="1" si="94">IF(M181&gt;0,N181*100/M181,0)</f>
        <v>54.889711981566819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583500</v>
      </c>
      <c r="M183" s="870">
        <f t="shared" ca="1" si="95"/>
        <v>434000</v>
      </c>
      <c r="N183" s="870">
        <f t="shared" ca="1" si="95"/>
        <v>238221.35</v>
      </c>
      <c r="O183" s="870">
        <f t="shared" ca="1" si="93"/>
        <v>40.826281062553555</v>
      </c>
      <c r="P183" s="870">
        <f t="shared" ca="1" si="94"/>
        <v>54.889711981566819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583500</v>
      </c>
      <c r="M184" s="864">
        <f t="shared" ca="1" si="96"/>
        <v>434000</v>
      </c>
      <c r="N184" s="864">
        <f t="shared" ca="1" si="96"/>
        <v>238221.35</v>
      </c>
      <c r="O184" s="864">
        <f t="shared" ca="1" si="93"/>
        <v>40.826281062553555</v>
      </c>
      <c r="P184" s="864">
        <f t="shared" ca="1" si="94"/>
        <v>54.889711981566819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IFERROR(__xludf.DUMMYFUNCTION("IMPORTRANGE(""https://docs.google.com/spreadsheets/d/1MeEWN-I1oV_STSDYn1IFDPWt_1FKiwhDph83XaGc0o0/edit?usp=sharing"",""งบพรบ!CO36"")"),583500)</f>
        <v>583500</v>
      </c>
      <c r="M186" s="870">
        <f ca="1">IFERROR(__xludf.DUMMYFUNCTION("IMPORTRANGE(""https://docs.google.com/spreadsheets/d/1MeEWN-I1oV_STSDYn1IFDPWt_1FKiwhDph83XaGc0o0/edit?usp=sharing"",""งบพรบ!CT36"")"),434000)</f>
        <v>434000</v>
      </c>
      <c r="N186" s="870">
        <f ca="1">IFERROR(__xludf.DUMMYFUNCTION("IMPORTRANGE(""https://docs.google.com/spreadsheets/d/1MeEWN-I1oV_STSDYn1IFDPWt_1FKiwhDph83XaGc0o0/edit?usp=sharing"",""งบพรบ!CV36"")"),238221.35)</f>
        <v>238221.35</v>
      </c>
      <c r="O186" s="870">
        <f t="shared" ca="1" si="93"/>
        <v>40.826281062553555</v>
      </c>
      <c r="P186" s="870">
        <f t="shared" ca="1" si="94"/>
        <v>54.889711981566819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IFERROR(__xludf.DUMMYFUNCTION("IMPORTRANGE(""https://docs.google.com/spreadsheets/d/1MeEWN-I1oV_STSDYn1IFDPWt_1FKiwhDph83XaGc0o0/edit?usp=sharing"",""งบพรบ!CR36"")"),0)</f>
        <v>0</v>
      </c>
      <c r="M189" s="870">
        <f ca="1">IFERROR(__xludf.DUMMYFUNCTION("IMPORTRANGE(""https://docs.google.com/spreadsheets/d/1MeEWN-I1oV_STSDYn1IFDPWt_1FKiwhDph83XaGc0o0/edit?usp=sharing"",""งบพรบ!CU36"")"),0)</f>
        <v>0</v>
      </c>
      <c r="N189" s="870">
        <f ca="1">IFERROR(__xludf.DUMMYFUNCTION("IMPORTRANGE(""https://docs.google.com/spreadsheets/d/1MeEWN-I1oV_STSDYn1IFDPWt_1FKiwhDph83XaGc0o0/edit?usp=sharing"",""งบพรบ!CW36"")"),0)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IFERROR(__xludf.DUMMYFUNCTION("IMPORTRANGE(""https://docs.google.com/spreadsheets/d/1QqKyyYR6Q21VydFLVH3TRQUabQu_ym0Zz7PgGX0-kHA/edit?usp=sharing"",""แผน!Z36"")"),6000)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IFERROR(__xludf.DUMMYFUNCTION("IMPORTRANGE(""https://docs.google.com/spreadsheets/d/1QqKyyYR6Q21VydFLVH3TRQUabQu_ym0Zz7PgGX0-kHA/edit?usp=sharing"",""แผน!AC36"")"),4)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167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167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2</v>
      </c>
      <c r="J197" s="1057">
        <f t="shared" si="99"/>
        <v>2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26000</v>
      </c>
      <c r="M198" s="972"/>
      <c r="N198" s="972">
        <f>N199+N200+N201+N202</f>
        <v>26000</v>
      </c>
      <c r="O198" s="972">
        <f ca="1">IF(L198&gt;0,N198*100/L198,0)</f>
        <v>100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IFERROR(__xludf.DUMMYFUNCTION("IMPORTRANGE(""https://docs.google.com/spreadsheets/d/1QqKyyYR6Q21VydFLVH3TRQUabQu_ym0Zz7PgGX0-kHA/edit?usp=sharing"",""แผน!AE36"")"),2000)</f>
        <v>2000</v>
      </c>
      <c r="M199" s="864"/>
      <c r="N199" s="1064">
        <v>2000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IFERROR(__xludf.DUMMYFUNCTION("IMPORTRANGE(""https://docs.google.com/spreadsheets/d/1QqKyyYR6Q21VydFLVH3TRQUabQu_ym0Zz7PgGX0-kHA/edit?usp=sharing"",""แผน!AF36"")"),16000)</f>
        <v>16000</v>
      </c>
      <c r="M200" s="864"/>
      <c r="N200" s="1064">
        <v>16000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IFERROR(__xludf.DUMMYFUNCTION("IMPORTRANGE(""https://docs.google.com/spreadsheets/d/1QqKyyYR6Q21VydFLVH3TRQUabQu_ym0Zz7PgGX0-kHA/edit?usp=sharing"",""แผน!AG36"")"),8000)</f>
        <v>8000</v>
      </c>
      <c r="M201" s="864"/>
      <c r="N201" s="1064">
        <v>8000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IFERROR(__xludf.DUMMYFUNCTION("IMPORTRANGE(""https://docs.google.com/spreadsheets/d/1QqKyyYR6Q21VydFLVH3TRQUabQu_ym0Zz7PgGX0-kHA/edit?usp=sharing"",""แผน!AH36"")"),0)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IFERROR(__xludf.DUMMYFUNCTION("IMPORTRANGE(""https://docs.google.com/spreadsheets/d/1QqKyyYR6Q21VydFLVH3TRQUabQu_ym0Zz7PgGX0-kHA/edit?usp=sharing"",""แผน!AI36"")"),2)</f>
        <v>2</v>
      </c>
      <c r="J204" s="992">
        <v>2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2</v>
      </c>
      <c r="J206" s="992">
        <v>2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IFERROR(__xludf.DUMMYFUNCTION("IMPORTRANGE(""https://docs.google.com/spreadsheets/d/1QqKyyYR6Q21VydFLVH3TRQUabQu_ym0Zz7PgGX0-kHA/edit?usp=sharing"",""แผน!AK36"")"),0)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IFERROR(__xludf.DUMMYFUNCTION("IMPORTRANGE(""https://docs.google.com/spreadsheets/d/1QqKyyYR6Q21VydFLVH3TRQUabQu_ym0Zz7PgGX0-kHA/edit?usp=sharing"",""แผน!AL36"")"),0)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IFERROR(__xludf.DUMMYFUNCTION("IMPORTRANGE(""https://docs.google.com/spreadsheets/d/1QqKyyYR6Q21VydFLVH3TRQUabQu_ym0Zz7PgGX0-kHA/edit?usp=sharing"",""แผน!AM36"")"),0)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IFERROR(__xludf.DUMMYFUNCTION("IMPORTRANGE(""https://docs.google.com/spreadsheets/d/1QqKyyYR6Q21VydFLVH3TRQUabQu_ym0Zz7PgGX0-kHA/edit?usp=sharing"",""แผน!AN36"")"),0)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IFERROR(__xludf.DUMMYFUNCTION("IMPORTRANGE(""https://docs.google.com/spreadsheets/d/1QqKyyYR6Q21VydFLVH3TRQUabQu_ym0Zz7PgGX0-kHA/edit?usp=sharing"",""แผน!AN36"")"),0)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70000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33500</v>
      </c>
      <c r="M217" s="972"/>
      <c r="N217" s="972">
        <f>N218+N219+N220</f>
        <v>10595</v>
      </c>
      <c r="O217" s="972">
        <f ca="1">IF(L217&gt;0,N217*100/L217,0)</f>
        <v>31.626865671641792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IFERROR(__xludf.DUMMYFUNCTION("IMPORTRANGE(""https://docs.google.com/spreadsheets/d/1QqKyyYR6Q21VydFLVH3TRQUabQu_ym0Zz7PgGX0-kHA/edit?usp=sharing"",""แผน!AP36"")"),5000)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IFERROR(__xludf.DUMMYFUNCTION("IMPORTRANGE(""https://docs.google.com/spreadsheets/d/1QqKyyYR6Q21VydFLVH3TRQUabQu_ym0Zz7PgGX0-kHA/edit?usp=sharing"",""แผน!AQ36"")"),18500)</f>
        <v>18500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IFERROR(__xludf.DUMMYFUNCTION("IMPORTRANGE(""https://docs.google.com/spreadsheets/d/1QqKyyYR6Q21VydFLVH3TRQUabQu_ym0Zz7PgGX0-kHA/edit?usp=sharing"",""แผน!AR36"")"),10000)</f>
        <v>10000</v>
      </c>
      <c r="M220" s="864"/>
      <c r="N220" s="1064">
        <v>10595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IFERROR(__xludf.DUMMYFUNCTION("IMPORTRANGE(""https://docs.google.com/spreadsheets/d/1QqKyyYR6Q21VydFLVH3TRQUabQu_ym0Zz7PgGX0-kHA/edit?usp=sharing"",""แผน!AT36"")"),70000)</f>
        <v>70000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IFERROR(__xludf.DUMMYFUNCTION("IMPORTRANGE(""https://docs.google.com/spreadsheets/d/1QqKyyYR6Q21VydFLVH3TRQUabQu_ym0Zz7PgGX0-kHA/edit?usp=sharing"",""แผน!AT36"")"),70000)</f>
        <v>70000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IFERROR(__xludf.DUMMYFUNCTION("IMPORTRANGE(""https://docs.google.com/spreadsheets/d/1QqKyyYR6Q21VydFLVH3TRQUabQu_ym0Zz7PgGX0-kHA/edit?usp=sharing"",""แผน!AS36"")"),10)</f>
        <v>10</v>
      </c>
      <c r="J225" s="992">
        <v>10</v>
      </c>
      <c r="K225" s="978">
        <f t="shared" ca="1" si="104"/>
        <v>100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IFERROR(__xludf.DUMMYFUNCTION("IMPORTRANGE(""https://docs.google.com/spreadsheets/d/1QqKyyYR6Q21VydFLVH3TRQUabQu_ym0Zz7PgGX0-kHA/edit?usp=sharing"",""แผน!AV36"")"),0)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IFERROR(__xludf.DUMMYFUNCTION("IMPORTRANGE(""https://docs.google.com/spreadsheets/d/1QqKyyYR6Q21VydFLVH3TRQUabQu_ym0Zz7PgGX0-kHA/edit?usp=sharing"",""แผน!AW36"")"),0)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IFERROR(__xludf.DUMMYFUNCTION("IMPORTRANGE(""https://docs.google.com/spreadsheets/d/1QqKyyYR6Q21VydFLVH3TRQUabQu_ym0Zz7PgGX0-kHA/edit?usp=sharing"",""แผน!AX36"")"),0)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IFERROR(__xludf.DUMMYFUNCTION("IMPORTRANGE(""https://docs.google.com/spreadsheets/d/1QqKyyYR6Q21VydFLVH3TRQUabQu_ym0Zz7PgGX0-kHA/edit?usp=sharing"",""แผน!AY36"")"),0)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IFERROR(__xludf.DUMMYFUNCTION("IMPORTRANGE(""https://docs.google.com/spreadsheets/d/1QqKyyYR6Q21VydFLVH3TRQUabQu_ym0Zz7PgGX0-kHA/edit?usp=sharing"",""แผน!BE36"")"),0)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IFERROR(__xludf.DUMMYFUNCTION("IMPORTRANGE(""https://docs.google.com/spreadsheets/d/1QqKyyYR6Q21VydFLVH3TRQUabQu_ym0Zz7PgGX0-kHA/edit?usp=sharing"",""แผน!AZ36"")"),0)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IFERROR(__xludf.DUMMYFUNCTION("IMPORTRANGE(""https://docs.google.com/spreadsheets/d/1QqKyyYR6Q21VydFLVH3TRQUabQu_ym0Zz7PgGX0-kHA/edit?usp=sharing"",""แผน!BA36"")"),0)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IFERROR(__xludf.DUMMYFUNCTION("IMPORTRANGE(""https://docs.google.com/spreadsheets/d/1QqKyyYR6Q21VydFLVH3TRQUabQu_ym0Zz7PgGX0-kHA/edit?usp=sharing"",""แผน!BB36"")"),0)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IFERROR(__xludf.DUMMYFUNCTION("IMPORTRANGE(""https://docs.google.com/spreadsheets/d/1QqKyyYR6Q21VydFLVH3TRQUabQu_ym0Zz7PgGX0-kHA/edit?usp=sharing"",""แผน!BC36"")"),0)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IFERROR(__xludf.DUMMYFUNCTION("IMPORTRANGE(""https://docs.google.com/spreadsheets/d/1QqKyyYR6Q21VydFLVH3TRQUabQu_ym0Zz7PgGX0-kHA/edit?usp=sharing"",""แผน!BF36"")"),0)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24</v>
      </c>
      <c r="J260" s="1041">
        <f t="shared" si="115"/>
        <v>24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28800</v>
      </c>
      <c r="M261" s="972">
        <f t="shared" ca="1" si="116"/>
        <v>25800</v>
      </c>
      <c r="N261" s="972">
        <f t="shared" ca="1" si="116"/>
        <v>24520</v>
      </c>
      <c r="O261" s="972">
        <f t="shared" ref="O261:O269" ca="1" si="117">IF(L261&gt;0,N261*100/L261,0)</f>
        <v>85.138888888888886</v>
      </c>
      <c r="P261" s="972">
        <f t="shared" ref="P261:P269" ca="1" si="118">IF(M261&gt;0,N261*100/M261,0)</f>
        <v>95.038759689922486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28800</v>
      </c>
      <c r="M263" s="870">
        <f t="shared" ca="1" si="119"/>
        <v>25800</v>
      </c>
      <c r="N263" s="870">
        <f t="shared" ca="1" si="119"/>
        <v>24520</v>
      </c>
      <c r="O263" s="870">
        <f t="shared" ca="1" si="117"/>
        <v>85.138888888888886</v>
      </c>
      <c r="P263" s="870">
        <f t="shared" ca="1" si="118"/>
        <v>95.038759689922486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28800</v>
      </c>
      <c r="M264" s="864">
        <f t="shared" ca="1" si="120"/>
        <v>25800</v>
      </c>
      <c r="N264" s="864">
        <f t="shared" ca="1" si="120"/>
        <v>24520</v>
      </c>
      <c r="O264" s="864">
        <f t="shared" ca="1" si="117"/>
        <v>85.138888888888886</v>
      </c>
      <c r="P264" s="864">
        <f t="shared" ca="1" si="118"/>
        <v>95.038759689922486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IFERROR(__xludf.DUMMYFUNCTION("IMPORTRANGE(""https://docs.google.com/spreadsheets/d/1MeEWN-I1oV_STSDYn1IFDPWt_1FKiwhDph83XaGc0o0/edit?usp=sharing"",""งบพรบ!CY36"")"),28800)</f>
        <v>28800</v>
      </c>
      <c r="M266" s="870">
        <f ca="1">IFERROR(__xludf.DUMMYFUNCTION("IMPORTRANGE(""https://docs.google.com/spreadsheets/d/1MeEWN-I1oV_STSDYn1IFDPWt_1FKiwhDph83XaGc0o0/edit?usp=sharing"",""งบพรบ!DD36"")"),25800)</f>
        <v>25800</v>
      </c>
      <c r="N266" s="870">
        <f ca="1">IFERROR(__xludf.DUMMYFUNCTION("IMPORTRANGE(""https://docs.google.com/spreadsheets/d/1MeEWN-I1oV_STSDYn1IFDPWt_1FKiwhDph83XaGc0o0/edit?usp=sharing"",""งบพรบ!DF36"")"),24520)</f>
        <v>24520</v>
      </c>
      <c r="O266" s="870">
        <f t="shared" ca="1" si="117"/>
        <v>85.138888888888886</v>
      </c>
      <c r="P266" s="870">
        <f t="shared" ca="1" si="118"/>
        <v>95.038759689922486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IFERROR(__xludf.DUMMYFUNCTION("IMPORTRANGE(""https://docs.google.com/spreadsheets/d/1MeEWN-I1oV_STSDYn1IFDPWt_1FKiwhDph83XaGc0o0/edit?usp=sharing"",""งบพรบ!DB36"")"),0)</f>
        <v>0</v>
      </c>
      <c r="M269" s="870">
        <f ca="1">IFERROR(__xludf.DUMMYFUNCTION("IMPORTRANGE(""https://docs.google.com/spreadsheets/d/1MeEWN-I1oV_STSDYn1IFDPWt_1FKiwhDph83XaGc0o0/edit?usp=sharing"",""งบพรบ!DE36"")"),0)</f>
        <v>0</v>
      </c>
      <c r="N269" s="870">
        <f ca="1">IFERROR(__xludf.DUMMYFUNCTION("IMPORTRANGE(""https://docs.google.com/spreadsheets/d/1MeEWN-I1oV_STSDYn1IFDPWt_1FKiwhDph83XaGc0o0/edit?usp=sharing"",""งบพรบ!DG36"")"),0)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IFERROR(__xludf.DUMMYFUNCTION("IMPORTRANGE(""https://docs.google.com/spreadsheets/d/1QqKyyYR6Q21VydFLVH3TRQUabQu_ym0Zz7PgGX0-kHA/edit?usp=sharing"",""แผน!EA36"")"),24)</f>
        <v>24</v>
      </c>
      <c r="J271" s="992">
        <v>24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40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400</v>
      </c>
      <c r="J276" s="1138">
        <f t="shared" si="124"/>
        <v>400</v>
      </c>
      <c r="K276" s="1139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147030</v>
      </c>
      <c r="M277" s="972">
        <f t="shared" ca="1" si="125"/>
        <v>70790</v>
      </c>
      <c r="N277" s="972">
        <f t="shared" ca="1" si="125"/>
        <v>57120</v>
      </c>
      <c r="O277" s="972">
        <f t="shared" ref="O277:O285" ca="1" si="126">IF(L277&gt;0,N277*100/L277,0)</f>
        <v>38.849214446031425</v>
      </c>
      <c r="P277" s="972">
        <f t="shared" ref="P277:P285" ca="1" si="127">IF(M277&gt;0,N277*100/M277,0)</f>
        <v>80.689362904365026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147030</v>
      </c>
      <c r="M279" s="870">
        <f t="shared" ca="1" si="128"/>
        <v>70790</v>
      </c>
      <c r="N279" s="870">
        <f t="shared" ca="1" si="128"/>
        <v>57120</v>
      </c>
      <c r="O279" s="870">
        <f t="shared" ca="1" si="126"/>
        <v>38.849214446031425</v>
      </c>
      <c r="P279" s="870">
        <f t="shared" ca="1" si="127"/>
        <v>80.689362904365026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147030</v>
      </c>
      <c r="M280" s="864">
        <f t="shared" ca="1" si="129"/>
        <v>70790</v>
      </c>
      <c r="N280" s="864">
        <f t="shared" ca="1" si="129"/>
        <v>57120</v>
      </c>
      <c r="O280" s="864">
        <f t="shared" ca="1" si="126"/>
        <v>38.849214446031425</v>
      </c>
      <c r="P280" s="864">
        <f t="shared" ca="1" si="127"/>
        <v>80.689362904365026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IFERROR(__xludf.DUMMYFUNCTION("IMPORTRANGE(""https://docs.google.com/spreadsheets/d/1MeEWN-I1oV_STSDYn1IFDPWt_1FKiwhDph83XaGc0o0/edit?usp=sharing"",""งบพรบ!DI36"")"),147030)</f>
        <v>147030</v>
      </c>
      <c r="M282" s="870">
        <f ca="1">IFERROR(__xludf.DUMMYFUNCTION("IMPORTRANGE(""https://docs.google.com/spreadsheets/d/1MeEWN-I1oV_STSDYn1IFDPWt_1FKiwhDph83XaGc0o0/edit?usp=sharing"",""งบพรบ!DN36"")"),70790)</f>
        <v>70790</v>
      </c>
      <c r="N282" s="870">
        <f ca="1">IFERROR(__xludf.DUMMYFUNCTION("IMPORTRANGE(""https://docs.google.com/spreadsheets/d/1MeEWN-I1oV_STSDYn1IFDPWt_1FKiwhDph83XaGc0o0/edit?usp=sharing"",""งบพรบ!DP36"")"),57120)</f>
        <v>57120</v>
      </c>
      <c r="O282" s="870">
        <f t="shared" ca="1" si="126"/>
        <v>38.849214446031425</v>
      </c>
      <c r="P282" s="870">
        <f t="shared" ca="1" si="127"/>
        <v>80.689362904365026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IFERROR(__xludf.DUMMYFUNCTION("IMPORTRANGE(""https://docs.google.com/spreadsheets/d/1MeEWN-I1oV_STSDYn1IFDPWt_1FKiwhDph83XaGc0o0/edit?usp=sharing"",""งบพรบ!DL36"")"),0)</f>
        <v>0</v>
      </c>
      <c r="M285" s="870">
        <f ca="1">IFERROR(__xludf.DUMMYFUNCTION("IMPORTRANGE(""https://docs.google.com/spreadsheets/d/1MeEWN-I1oV_STSDYn1IFDPWt_1FKiwhDph83XaGc0o0/edit?usp=sharing"",""งบพรบ!DO36"")"),0)</f>
        <v>0</v>
      </c>
      <c r="N285" s="870">
        <f ca="1">IFERROR(__xludf.DUMMYFUNCTION("IMPORTRANGE(""https://docs.google.com/spreadsheets/d/1MeEWN-I1oV_STSDYn1IFDPWt_1FKiwhDph83XaGc0o0/edit?usp=sharing"",""งบพรบ!DQ36"")"),0)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IFERROR(__xludf.DUMMYFUNCTION("IMPORTRANGE(""https://docs.google.com/spreadsheets/d/1QqKyyYR6Q21VydFLVH3TRQUabQu_ym0Zz7PgGX0-kHA/edit?usp=sharing"",""แผน!EC36"")"),400)</f>
        <v>400</v>
      </c>
      <c r="J287" s="992">
        <v>400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IFERROR(__xludf.DUMMYFUNCTION("IMPORTRANGE(""https://docs.google.com/spreadsheets/d/1QqKyyYR6Q21VydFLVH3TRQUabQu_ym0Zz7PgGX0-kHA/edit?usp=sharing"",""แผน!EB36"")"),40)</f>
        <v>40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IFERROR(__xludf.DUMMYFUNCTION("IMPORTRANGE(""https://docs.google.com/spreadsheets/d/1QqKyyYR6Q21VydFLVH3TRQUabQu_ym0Zz7PgGX0-kHA/edit?usp=sharing"",""แผน!EB36"")"),40)</f>
        <v>40</v>
      </c>
      <c r="J290" s="992">
        <v>40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IFERROR(__xludf.DUMMYFUNCTION("IMPORTRANGE(""https://docs.google.com/spreadsheets/d/1QqKyyYR6Q21VydFLVH3TRQUabQu_ym0Zz7PgGX0-kHA/edit?usp=sharing"",""แผน!EB36"")"),40)</f>
        <v>40</v>
      </c>
      <c r="J291" s="992">
        <v>40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IFERROR(__xludf.DUMMYFUNCTION("IMPORTRANGE(""https://docs.google.com/spreadsheets/d/1QqKyyYR6Q21VydFLVH3TRQUabQu_ym0Zz7PgGX0-kHA/edit?usp=sharing"",""แผน!EB36"")"),40)</f>
        <v>40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IFERROR(__xludf.DUMMYFUNCTION("IMPORTRANGE(""https://docs.google.com/spreadsheets/d/1QqKyyYR6Q21VydFLVH3TRQUabQu_ym0Zz7PgGX0-kHA/edit?usp=sharing"",""แผน!EB36"")"),40)</f>
        <v>40</v>
      </c>
      <c r="J294" s="1151"/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25</v>
      </c>
      <c r="J297" s="1170">
        <f t="shared" si="134"/>
        <v>25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101000</v>
      </c>
      <c r="M298" s="972">
        <f t="shared" ca="1" si="135"/>
        <v>78500</v>
      </c>
      <c r="N298" s="972">
        <f t="shared" ca="1" si="135"/>
        <v>74500</v>
      </c>
      <c r="O298" s="972">
        <f t="shared" ref="O298:O306" ca="1" si="136">IF(L298&gt;0,N298*100/L298,0)</f>
        <v>73.762376237623769</v>
      </c>
      <c r="P298" s="972">
        <f t="shared" ref="P298:P306" ca="1" si="137">IF(M298&gt;0,N298*100/M298,0)</f>
        <v>94.904458598726109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101000</v>
      </c>
      <c r="M300" s="870">
        <f t="shared" ca="1" si="138"/>
        <v>78500</v>
      </c>
      <c r="N300" s="870">
        <f t="shared" ca="1" si="138"/>
        <v>74500</v>
      </c>
      <c r="O300" s="870">
        <f t="shared" ca="1" si="136"/>
        <v>73.762376237623769</v>
      </c>
      <c r="P300" s="870">
        <f t="shared" ca="1" si="137"/>
        <v>94.904458598726109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101000</v>
      </c>
      <c r="M301" s="864">
        <f t="shared" ca="1" si="139"/>
        <v>78500</v>
      </c>
      <c r="N301" s="864">
        <f t="shared" ca="1" si="139"/>
        <v>74500</v>
      </c>
      <c r="O301" s="864">
        <f t="shared" ca="1" si="136"/>
        <v>73.762376237623769</v>
      </c>
      <c r="P301" s="864">
        <f t="shared" ca="1" si="137"/>
        <v>94.904458598726109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IFERROR(__xludf.DUMMYFUNCTION("IMPORTRANGE(""https://docs.google.com/spreadsheets/d/1MeEWN-I1oV_STSDYn1IFDPWt_1FKiwhDph83XaGc0o0/edit?usp=sharing"",""งบพรบ!DS36"")"),101000)</f>
        <v>101000</v>
      </c>
      <c r="M303" s="870">
        <f ca="1">IFERROR(__xludf.DUMMYFUNCTION("IMPORTRANGE(""https://docs.google.com/spreadsheets/d/1MeEWN-I1oV_STSDYn1IFDPWt_1FKiwhDph83XaGc0o0/edit?usp=sharing"",""งบพรบ!DX36"")"),78500)</f>
        <v>78500</v>
      </c>
      <c r="N303" s="870">
        <f ca="1">IFERROR(__xludf.DUMMYFUNCTION("IMPORTRANGE(""https://docs.google.com/spreadsheets/d/1MeEWN-I1oV_STSDYn1IFDPWt_1FKiwhDph83XaGc0o0/edit?usp=sharing"",""งบพรบ!DZ36"")"),74500)</f>
        <v>74500</v>
      </c>
      <c r="O303" s="870">
        <f t="shared" ca="1" si="136"/>
        <v>73.762376237623769</v>
      </c>
      <c r="P303" s="870">
        <f t="shared" ca="1" si="137"/>
        <v>94.904458598726109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IFERROR(__xludf.DUMMYFUNCTION("IMPORTRANGE(""https://docs.google.com/spreadsheets/d/1MeEWN-I1oV_STSDYn1IFDPWt_1FKiwhDph83XaGc0o0/edit?usp=sharing"",""งบพรบ!DV36"")"),0)</f>
        <v>0</v>
      </c>
      <c r="M306" s="870">
        <f ca="1">IFERROR(__xludf.DUMMYFUNCTION("IMPORTRANGE(""https://docs.google.com/spreadsheets/d/1MeEWN-I1oV_STSDYn1IFDPWt_1FKiwhDph83XaGc0o0/edit?usp=sharing"",""งบพรบ!DY36"")"),0)</f>
        <v>0</v>
      </c>
      <c r="N306" s="870">
        <f ca="1">IFERROR(__xludf.DUMMYFUNCTION("IMPORTRANGE(""https://docs.google.com/spreadsheets/d/1MeEWN-I1oV_STSDYn1IFDPWt_1FKiwhDph83XaGc0o0/edit?usp=sharing"",""งบพรบ!EA36"")"),0)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IFERROR(__xludf.DUMMYFUNCTION("IMPORTRANGE(""https://docs.google.com/spreadsheets/d/1QqKyyYR6Q21VydFLVH3TRQUabQu_ym0Zz7PgGX0-kHA/edit?usp=sharing"",""แผน!ED36"")"),25)</f>
        <v>25</v>
      </c>
      <c r="J309" s="992">
        <v>25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IFERROR(__xludf.DUMMYFUNCTION("IMPORTRANGE(""https://docs.google.com/spreadsheets/d/1QqKyyYR6Q21VydFLVH3TRQUabQu_ym0Zz7PgGX0-kHA/edit?usp=sharing"",""แผน!ED36"")"),25)</f>
        <v>25</v>
      </c>
      <c r="J310" s="992">
        <v>25</v>
      </c>
      <c r="K310" s="864">
        <f t="shared" ca="1" si="141"/>
        <v>100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IFERROR(__xludf.DUMMYFUNCTION("IMPORTRANGE(""https://docs.google.com/spreadsheets/d/1QqKyyYR6Q21VydFLVH3TRQUabQu_ym0Zz7PgGX0-kHA/edit?usp=sharing"",""แผน!ED36"")"),25)</f>
        <v>25</v>
      </c>
      <c r="J311" s="992"/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IFERROR(__xludf.DUMMYFUNCTION("IMPORTRANGE(""https://docs.google.com/spreadsheets/d/1QqKyyYR6Q21VydFLVH3TRQUabQu_ym0Zz7PgGX0-kHA/edit?usp=sharing"",""แผน!EE36"")"),5)</f>
        <v>5</v>
      </c>
      <c r="J312" s="992">
        <v>5</v>
      </c>
      <c r="K312" s="864">
        <f t="shared" ca="1" si="141"/>
        <v>100</v>
      </c>
      <c r="L312" s="864"/>
      <c r="M312" s="864"/>
      <c r="N312" s="864"/>
      <c r="O312" s="864"/>
      <c r="P312" s="864"/>
    </row>
    <row r="313" spans="1:26" ht="19.5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2</v>
      </c>
      <c r="J314" s="1170">
        <f t="shared" si="142"/>
        <v>2</v>
      </c>
      <c r="K314" s="1171">
        <f ca="1">IF(I314&gt;0,J314*100/I314,0)</f>
        <v>100</v>
      </c>
      <c r="L314" s="1172"/>
      <c r="M314" s="1172"/>
      <c r="N314" s="1172"/>
      <c r="O314" s="1172"/>
      <c r="P314" s="1172"/>
    </row>
    <row r="315" spans="1:26" ht="19.5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439000</v>
      </c>
      <c r="M315" s="972">
        <f t="shared" ca="1" si="143"/>
        <v>322500</v>
      </c>
      <c r="N315" s="972">
        <f t="shared" ca="1" si="143"/>
        <v>184866.48</v>
      </c>
      <c r="O315" s="972">
        <f t="shared" ref="O315:O323" ca="1" si="144">IF(L315&gt;0,N315*100/L315,0)</f>
        <v>42.110815489749427</v>
      </c>
      <c r="P315" s="972">
        <f t="shared" ref="P315:P323" ca="1" si="145">IF(M315&gt;0,N315*100/M315,0)</f>
        <v>57.322939534883723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439000</v>
      </c>
      <c r="M317" s="870">
        <f t="shared" ca="1" si="146"/>
        <v>322500</v>
      </c>
      <c r="N317" s="870">
        <f t="shared" ca="1" si="146"/>
        <v>184866.48</v>
      </c>
      <c r="O317" s="870">
        <f t="shared" ca="1" si="144"/>
        <v>42.110815489749427</v>
      </c>
      <c r="P317" s="870">
        <f t="shared" ca="1" si="145"/>
        <v>57.322939534883723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439000</v>
      </c>
      <c r="M318" s="864">
        <f t="shared" ca="1" si="147"/>
        <v>322500</v>
      </c>
      <c r="N318" s="864">
        <f t="shared" ca="1" si="147"/>
        <v>184866.48</v>
      </c>
      <c r="O318" s="864">
        <f t="shared" ca="1" si="144"/>
        <v>42.110815489749427</v>
      </c>
      <c r="P318" s="864">
        <f t="shared" ca="1" si="145"/>
        <v>57.322939534883723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IFERROR(__xludf.DUMMYFUNCTION("IMPORTRANGE(""https://docs.google.com/spreadsheets/d/1MeEWN-I1oV_STSDYn1IFDPWt_1FKiwhDph83XaGc0o0/edit?usp=sharing"",""งบพรบ!EC36"")"),439000)</f>
        <v>439000</v>
      </c>
      <c r="M320" s="870">
        <f ca="1">IFERROR(__xludf.DUMMYFUNCTION("IMPORTRANGE(""https://docs.google.com/spreadsheets/d/1MeEWN-I1oV_STSDYn1IFDPWt_1FKiwhDph83XaGc0o0/edit?usp=sharing"",""งบพรบ!EH36"")"),322500)</f>
        <v>322500</v>
      </c>
      <c r="N320" s="870">
        <f ca="1">IFERROR(__xludf.DUMMYFUNCTION("IMPORTRANGE(""https://docs.google.com/spreadsheets/d/1MeEWN-I1oV_STSDYn1IFDPWt_1FKiwhDph83XaGc0o0/edit?usp=sharing"",""งบพรบ!EJ36"")"),184866.48)</f>
        <v>184866.48</v>
      </c>
      <c r="O320" s="870">
        <f t="shared" ca="1" si="144"/>
        <v>42.110815489749427</v>
      </c>
      <c r="P320" s="870">
        <f t="shared" ca="1" si="145"/>
        <v>57.322939534883723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IFERROR(__xludf.DUMMYFUNCTION("IMPORTRANGE(""https://docs.google.com/spreadsheets/d/1MeEWN-I1oV_STSDYn1IFDPWt_1FKiwhDph83XaGc0o0/edit?usp=sharing"",""งบพรบ!EF36"")"),0)</f>
        <v>0</v>
      </c>
      <c r="M323" s="870">
        <f ca="1">IFERROR(__xludf.DUMMYFUNCTION("IMPORTRANGE(""https://docs.google.com/spreadsheets/d/1MeEWN-I1oV_STSDYn1IFDPWt_1FKiwhDph83XaGc0o0/edit?usp=sharing"",""งบพรบ!EI36"")"),0)</f>
        <v>0</v>
      </c>
      <c r="N323" s="870">
        <f ca="1">IFERROR(__xludf.DUMMYFUNCTION("IMPORTRANGE(""https://docs.google.com/spreadsheets/d/1MeEWN-I1oV_STSDYn1IFDPWt_1FKiwhDph83XaGc0o0/edit?usp=sharing"",""งบพรบ!EK36"")"),0)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IFERROR(__xludf.DUMMYFUNCTION("IMPORTRANGE(""https://docs.google.com/spreadsheets/d/1QqKyyYR6Q21VydFLVH3TRQUabQu_ym0Zz7PgGX0-kHA/edit?usp=sharing"",""แผน!EF36"")"),2)</f>
        <v>2</v>
      </c>
      <c r="J325" s="992">
        <v>2</v>
      </c>
      <c r="K325" s="864">
        <f ca="1">IF(I325&gt;0,J325*100/I325,0)</f>
        <v>100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IFERROR(__xludf.DUMMYFUNCTION("IMPORTRANGE(""https://docs.google.com/spreadsheets/d/1QqKyyYR6Q21VydFLVH3TRQUabQu_ym0Zz7PgGX0-kHA/edit?usp=sharing"",""แผน!EG36"")"),8620)</f>
        <v>8620</v>
      </c>
      <c r="J327" s="1170">
        <f ca="1">J338+J341+J342+J343</f>
        <v>4837</v>
      </c>
      <c r="K327" s="1171">
        <f ca="1">IF(I327&gt;0,J327*100/I327,0)</f>
        <v>56.113689095127611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198000</v>
      </c>
      <c r="M328" s="972">
        <f t="shared" ca="1" si="149"/>
        <v>151000</v>
      </c>
      <c r="N328" s="972">
        <f t="shared" ca="1" si="149"/>
        <v>80582.67</v>
      </c>
      <c r="O328" s="972">
        <f t="shared" ref="O328:O336" ca="1" si="150">IF(L328&gt;0,N328*100/L328,0)</f>
        <v>40.698318181818181</v>
      </c>
      <c r="P328" s="972">
        <f t="shared" ref="P328:P336" ca="1" si="151">IF(M328&gt;0,N328*100/M328,0)</f>
        <v>53.366006622516558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198000</v>
      </c>
      <c r="M330" s="870">
        <f t="shared" ca="1" si="152"/>
        <v>151000</v>
      </c>
      <c r="N330" s="870">
        <f t="shared" ca="1" si="152"/>
        <v>80582.67</v>
      </c>
      <c r="O330" s="870">
        <f t="shared" ca="1" si="150"/>
        <v>40.698318181818181</v>
      </c>
      <c r="P330" s="870">
        <f t="shared" ca="1" si="151"/>
        <v>53.366006622516558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198000</v>
      </c>
      <c r="M331" s="864">
        <f t="shared" ca="1" si="153"/>
        <v>151000</v>
      </c>
      <c r="N331" s="864">
        <f t="shared" ca="1" si="153"/>
        <v>80582.67</v>
      </c>
      <c r="O331" s="864">
        <f t="shared" ca="1" si="150"/>
        <v>40.698318181818181</v>
      </c>
      <c r="P331" s="864">
        <f t="shared" ca="1" si="151"/>
        <v>53.366006622516558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IFERROR(__xludf.DUMMYFUNCTION("IMPORTRANGE(""https://docs.google.com/spreadsheets/d/1MeEWN-I1oV_STSDYn1IFDPWt_1FKiwhDph83XaGc0o0/edit?usp=sharing"",""งบพรบ!EM36"")"),198000)</f>
        <v>198000</v>
      </c>
      <c r="M333" s="870">
        <f ca="1">IFERROR(__xludf.DUMMYFUNCTION("IMPORTRANGE(""https://docs.google.com/spreadsheets/d/1MeEWN-I1oV_STSDYn1IFDPWt_1FKiwhDph83XaGc0o0/edit?usp=sharing"",""งบพรบ!ER36"")"),151000)</f>
        <v>151000</v>
      </c>
      <c r="N333" s="870">
        <f ca="1">IFERROR(__xludf.DUMMYFUNCTION("IMPORTRANGE(""https://docs.google.com/spreadsheets/d/1MeEWN-I1oV_STSDYn1IFDPWt_1FKiwhDph83XaGc0o0/edit?usp=sharing"",""งบพรบ!ET36"")"),80582.67)</f>
        <v>80582.67</v>
      </c>
      <c r="O333" s="870">
        <f t="shared" ca="1" si="150"/>
        <v>40.698318181818181</v>
      </c>
      <c r="P333" s="870">
        <f t="shared" ca="1" si="151"/>
        <v>53.366006622516558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IFERROR(__xludf.DUMMYFUNCTION("IMPORTRANGE(""https://docs.google.com/spreadsheets/d/1MeEWN-I1oV_STSDYn1IFDPWt_1FKiwhDph83XaGc0o0/edit?usp=sharing"",""งบพรบ!EP36"")"),0)</f>
        <v>0</v>
      </c>
      <c r="M336" s="870">
        <f ca="1">IFERROR(__xludf.DUMMYFUNCTION("IMPORTRANGE(""https://docs.google.com/spreadsheets/d/1MeEWN-I1oV_STSDYn1IFDPWt_1FKiwhDph83XaGc0o0/edit?usp=sharing"",""งบพรบ!ES36"")"),0)</f>
        <v>0</v>
      </c>
      <c r="N336" s="870">
        <f ca="1">IFERROR(__xludf.DUMMYFUNCTION("IMPORTRANGE(""https://docs.google.com/spreadsheets/d/1MeEWN-I1oV_STSDYn1IFDPWt_1FKiwhDph83XaGc0o0/edit?usp=sharing"",""งบพรบ!EU36"")"),0)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IFERROR(__xludf.DUMMYFUNCTION("IMPORTRANGE(""https://docs.google.com/spreadsheets/d/1QqKyyYR6Q21VydFLVH3TRQUabQu_ym0Zz7PgGX0-kHA/edit?usp=sharing"",""แผน!EG36"")"),8620)</f>
        <v>8620</v>
      </c>
      <c r="J338" s="863">
        <f ca="1">IFERROR(__xludf.DUMMYFUNCTION("IMPORTRANGE(""https://docs.google.com/spreadsheets/d/1kVcqe37tkHyjCSG3S0O1AXqVkqjo8mSIZil3BcpIysc/edit?usp=sharing"",""ศูนย์!D36"")"),4079)</f>
        <v>4079</v>
      </c>
      <c r="K338" s="864">
        <f ca="1">IF(I338&gt;0,J338*100/I338,0)</f>
        <v>47.320185614849187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IFERROR(__xludf.DUMMYFUNCTION("IMPORTRANGE(""https://docs.google.com/spreadsheets/d/1QqKyyYR6Q21VydFLVH3TRQUabQu_ym0Zz7PgGX0-kHA/edit?usp=sharing"",""แผน!EH36"")"),15)</f>
        <v>15</v>
      </c>
      <c r="J340" s="863">
        <f ca="1">IFERROR(__xludf.DUMMYFUNCTION("IMPORTRANGE(""https://docs.google.com/spreadsheets/d/1kVcqe37tkHyjCSG3S0O1AXqVkqjo8mSIZil3BcpIysc/edit?usp=sharing"",""ศูนย์!E36"")"),7)</f>
        <v>7</v>
      </c>
      <c r="K340" s="864">
        <f ca="1">IF(I340&gt;0,J340*100/I340,0)</f>
        <v>46.666666666666664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IFERROR(__xludf.DUMMYFUNCTION("IMPORTRANGE(""https://docs.google.com/spreadsheets/d/1kVcqe37tkHyjCSG3S0O1AXqVkqjo8mSIZil3BcpIysc/edit?usp=sharing"",""ศูนย์!F36"")"),752)</f>
        <v>752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IFERROR(__xludf.DUMMYFUNCTION("IMPORTRANGE(""https://docs.google.com/spreadsheets/d/1kVcqe37tkHyjCSG3S0O1AXqVkqjo8mSIZil3BcpIysc/edit?usp=sharing"",""ศูนย์!G36"")"),0)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IFERROR(__xludf.DUMMYFUNCTION("IMPORTRANGE(""https://docs.google.com/spreadsheets/d/1kVcqe37tkHyjCSG3S0O1AXqVkqjo8mSIZil3BcpIysc/edit?usp=sharing"",""ศูนย์!H36"")"),6)</f>
        <v>6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2798010</v>
      </c>
      <c r="M345" s="972">
        <f t="shared" ca="1" si="155"/>
        <v>2370620</v>
      </c>
      <c r="N345" s="972">
        <f t="shared" ca="1" si="155"/>
        <v>1235502.67</v>
      </c>
      <c r="O345" s="972">
        <f t="shared" ref="O345:O353" ca="1" si="156">IF(L345&gt;0,N345*100/L345,0)</f>
        <v>44.156477996862058</v>
      </c>
      <c r="P345" s="972">
        <f t="shared" ref="P345:P353" ca="1" si="157">IF(M345&gt;0,N345*100/M345,0)</f>
        <v>52.11728028954451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2798010</v>
      </c>
      <c r="M347" s="870">
        <f t="shared" ca="1" si="158"/>
        <v>2370620</v>
      </c>
      <c r="N347" s="870">
        <f t="shared" ca="1" si="158"/>
        <v>1235502.67</v>
      </c>
      <c r="O347" s="870">
        <f t="shared" ca="1" si="156"/>
        <v>44.156477996862058</v>
      </c>
      <c r="P347" s="870">
        <f t="shared" ca="1" si="157"/>
        <v>52.11728028954451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2639610</v>
      </c>
      <c r="M348" s="864">
        <f t="shared" ca="1" si="159"/>
        <v>2212220</v>
      </c>
      <c r="N348" s="864">
        <f t="shared" ca="1" si="159"/>
        <v>1077102.67</v>
      </c>
      <c r="O348" s="864">
        <f t="shared" ca="1" si="156"/>
        <v>40.805371626869118</v>
      </c>
      <c r="P348" s="864">
        <f t="shared" ca="1" si="157"/>
        <v>48.688768296100747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IFERROR(__xludf.DUMMYFUNCTION("IMPORTRANGE(""https://docs.google.com/spreadsheets/d/1MeEWN-I1oV_STSDYn1IFDPWt_1FKiwhDph83XaGc0o0/edit?usp=sharing"",""งบพรบ!EW36"")"),2639610)</f>
        <v>2639610</v>
      </c>
      <c r="M350" s="870">
        <f ca="1">IFERROR(__xludf.DUMMYFUNCTION("IMPORTRANGE(""https://docs.google.com/spreadsheets/d/1MeEWN-I1oV_STSDYn1IFDPWt_1FKiwhDph83XaGc0o0/edit?usp=sharing"",""งบพรบ!FB36"")"),2212220)</f>
        <v>2212220</v>
      </c>
      <c r="N350" s="870">
        <f ca="1">IFERROR(__xludf.DUMMYFUNCTION("IMPORTRANGE(""https://docs.google.com/spreadsheets/d/1MeEWN-I1oV_STSDYn1IFDPWt_1FKiwhDph83XaGc0o0/edit?usp=sharing"",""งบพรบ!FD36"")"),1077102.67)</f>
        <v>1077102.67</v>
      </c>
      <c r="O350" s="870">
        <f t="shared" ca="1" si="156"/>
        <v>40.805371626869118</v>
      </c>
      <c r="P350" s="870">
        <f t="shared" ca="1" si="157"/>
        <v>48.688768296100747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158400</v>
      </c>
      <c r="M351" s="864">
        <f t="shared" ca="1" si="160"/>
        <v>158400</v>
      </c>
      <c r="N351" s="864">
        <f t="shared" ca="1" si="160"/>
        <v>158400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IFERROR(__xludf.DUMMYFUNCTION("IMPORTRANGE(""https://docs.google.com/spreadsheets/d/1MeEWN-I1oV_STSDYn1IFDPWt_1FKiwhDph83XaGc0o0/edit?usp=sharing"",""งบพรบ!EZ36"")"),158400)</f>
        <v>158400</v>
      </c>
      <c r="M353" s="870">
        <f ca="1">IFERROR(__xludf.DUMMYFUNCTION("IMPORTRANGE(""https://docs.google.com/spreadsheets/d/1MeEWN-I1oV_STSDYn1IFDPWt_1FKiwhDph83XaGc0o0/edit?usp=sharing"",""งบพรบ!FC36"")"),158400)</f>
        <v>158400</v>
      </c>
      <c r="N353" s="870">
        <f ca="1">IFERROR(__xludf.DUMMYFUNCTION("IMPORTRANGE(""https://docs.google.com/spreadsheets/d/1MeEWN-I1oV_STSDYn1IFDPWt_1FKiwhDph83XaGc0o0/edit?usp=sharing"",""งบพรบ!FE36"")"),158400)</f>
        <v>158400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IFERROR(__xludf.DUMMYFUNCTION("IMPORTRANGE(""https://docs.google.com/spreadsheets/d/1QqKyyYR6Q21VydFLVH3TRQUabQu_ym0Zz7PgGX0-kHA/edit?usp=sharing"",""แผน!EP36"")"),2000)</f>
        <v>2000</v>
      </c>
      <c r="J355" s="1186">
        <f ca="1">J362</f>
        <v>190</v>
      </c>
      <c r="K355" s="1187">
        <f ca="1">IF(I355&gt;0,J355*100/I355,0)</f>
        <v>9.5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IFERROR(__xludf.DUMMYFUNCTION("IMPORTRANGE(""https://docs.google.com/spreadsheets/d/1XWAQStnk-4SwqDmLtmXYiTMKHgktTP8We1SCoS47DrQ/edit?usp=sharing"",""จัดที่ดิน!W36"")"),476)</f>
        <v>476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IFERROR(__xludf.DUMMYFUNCTION("IMPORTRANGE(""https://docs.google.com/spreadsheets/d/1QqKyyYR6Q21VydFLVH3TRQUabQu_ym0Zz7PgGX0-kHA/edit?usp=sharing"",""แผน!EO36"")"),20000)</f>
        <v>20000</v>
      </c>
      <c r="J359" s="863">
        <f ca="1">IFERROR(__xludf.DUMMYFUNCTION("IMPORTRANGE(""https://docs.google.com/spreadsheets/d/1XWAQStnk-4SwqDmLtmXYiTMKHgktTP8We1SCoS47DrQ/edit?usp=sharing"",""จัดที่ดิน!X36"")"),5156.46)</f>
        <v>5156.46</v>
      </c>
      <c r="K359" s="864">
        <f t="shared" ca="1" si="161"/>
        <v>25.782299999999999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IFERROR(__xludf.DUMMYFUNCTION("IMPORTRANGE(""https://docs.google.com/spreadsheets/d/1QqKyyYR6Q21VydFLVH3TRQUabQu_ym0Zz7PgGX0-kHA/edit?usp=sharing"",""แผน!EP36"")"),2000)</f>
        <v>2000</v>
      </c>
      <c r="J360" s="863">
        <f ca="1">IFERROR(__xludf.DUMMYFUNCTION("IMPORTRANGE(""https://docs.google.com/spreadsheets/d/1XWAQStnk-4SwqDmLtmXYiTMKHgktTP8We1SCoS47DrQ/edit?usp=sharing"",""จัดที่ดิน!Y36"")"),475)</f>
        <v>475</v>
      </c>
      <c r="K360" s="864">
        <f t="shared" ca="1" si="161"/>
        <v>23.75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IFERROR(__xludf.DUMMYFUNCTION("IMPORTRANGE(""https://docs.google.com/spreadsheets/d/1XWAQStnk-4SwqDmLtmXYiTMKHgktTP8We1SCoS47DrQ/edit?usp=sharing"",""จัดที่ดิน!Z36"")"),5327.02)</f>
        <v>5327.02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IFERROR(__xludf.DUMMYFUNCTION("IMPORTRANGE(""https://docs.google.com/spreadsheets/d/1QqKyyYR6Q21VydFLVH3TRQUabQu_ym0Zz7PgGX0-kHA/edit?usp=sharing"",""แผน!EP36"")"),2000)</f>
        <v>2000</v>
      </c>
      <c r="J362" s="863">
        <f ca="1">IFERROR(__xludf.DUMMYFUNCTION("IMPORTRANGE(""https://docs.google.com/spreadsheets/d/1XWAQStnk-4SwqDmLtmXYiTMKHgktTP8We1SCoS47DrQ/edit?usp=sharing"",""จัดที่ดิน!AA36"")"),190)</f>
        <v>190</v>
      </c>
      <c r="K362" s="864">
        <f t="shared" ca="1" si="161"/>
        <v>9.5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IFERROR(__xludf.DUMMYFUNCTION("IMPORTRANGE(""https://docs.google.com/spreadsheets/d/1XWAQStnk-4SwqDmLtmXYiTMKHgktTP8We1SCoS47DrQ/edit?usp=sharing"",""จัดที่ดิน!AB36"")"),2105.91)</f>
        <v>2105.91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3000</v>
      </c>
      <c r="J364" s="1199">
        <f t="shared" ca="1" si="162"/>
        <v>1111</v>
      </c>
      <c r="K364" s="1200">
        <f t="shared" ca="1" si="161"/>
        <v>37.033333333333331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IFERROR(__xludf.DUMMYFUNCTION("IMPORTRANGE(""https://docs.google.com/spreadsheets/d/1QqKyyYR6Q21VydFLVH3TRQUabQu_ym0Zz7PgGX0-kHA/edit?usp=sharing"",""แผน!EJ36"")"),1500)</f>
        <v>1500</v>
      </c>
      <c r="J365" s="1207">
        <f ca="1">J372</f>
        <v>159</v>
      </c>
      <c r="K365" s="1208">
        <f t="shared" ca="1" si="161"/>
        <v>10.6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IFERROR(__xludf.DUMMYFUNCTION("IMPORTRANGE(""https://docs.google.com/spreadsheets/d/1XWAQStnk-4SwqDmLtmXYiTMKHgktTP8We1SCoS47DrQ/edit?usp=sharing"",""จัดที่ดิน!E36"")"),217)</f>
        <v>217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IFERROR(__xludf.DUMMYFUNCTION("IMPORTRANGE(""https://docs.google.com/spreadsheets/d/1QqKyyYR6Q21VydFLVH3TRQUabQu_ym0Zz7PgGX0-kHA/edit?usp=sharing"",""แผน!EI36"")"),15000)</f>
        <v>15000</v>
      </c>
      <c r="J369" s="863">
        <f ca="1">IFERROR(__xludf.DUMMYFUNCTION("IMPORTRANGE(""https://docs.google.com/spreadsheets/d/1XWAQStnk-4SwqDmLtmXYiTMKHgktTP8We1SCoS47DrQ/edit?usp=sharing"",""จัดที่ดิน!F36"")"),2602.32)</f>
        <v>2602.3200000000002</v>
      </c>
      <c r="K369" s="864">
        <f t="shared" ca="1" si="163"/>
        <v>17.348800000000001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IFERROR(__xludf.DUMMYFUNCTION("IMPORTRANGE(""https://docs.google.com/spreadsheets/d/1QqKyyYR6Q21VydFLVH3TRQUabQu_ym0Zz7PgGX0-kHA/edit?usp=sharing"",""แผน!EJ36"")"),1500)</f>
        <v>1500</v>
      </c>
      <c r="J370" s="863">
        <f ca="1">IFERROR(__xludf.DUMMYFUNCTION("IMPORTRANGE(""https://docs.google.com/spreadsheets/d/1XWAQStnk-4SwqDmLtmXYiTMKHgktTP8We1SCoS47DrQ/edit?usp=sharing"",""จัดที่ดิน!G36"")"),213)</f>
        <v>213</v>
      </c>
      <c r="K370" s="864">
        <f t="shared" ca="1" si="163"/>
        <v>14.2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IFERROR(__xludf.DUMMYFUNCTION("IMPORTRANGE(""https://docs.google.com/spreadsheets/d/1XWAQStnk-4SwqDmLtmXYiTMKHgktTP8We1SCoS47DrQ/edit?usp=sharing"",""จัดที่ดิน!H36"")"),2739.2)</f>
        <v>2739.2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IFERROR(__xludf.DUMMYFUNCTION("IMPORTRANGE(""https://docs.google.com/spreadsheets/d/1QqKyyYR6Q21VydFLVH3TRQUabQu_ym0Zz7PgGX0-kHA/edit?usp=sharing"",""แผน!EJ36"")"),1500)</f>
        <v>1500</v>
      </c>
      <c r="J372" s="863">
        <f ca="1">IFERROR(__xludf.DUMMYFUNCTION("IMPORTRANGE(""https://docs.google.com/spreadsheets/d/1XWAQStnk-4SwqDmLtmXYiTMKHgktTP8We1SCoS47DrQ/edit?usp=sharing"",""จัดที่ดิน!I36"")"),159)</f>
        <v>159</v>
      </c>
      <c r="K372" s="864">
        <f t="shared" ca="1" si="163"/>
        <v>10.6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IFERROR(__xludf.DUMMYFUNCTION("IMPORTRANGE(""https://docs.google.com/spreadsheets/d/1XWAQStnk-4SwqDmLtmXYiTMKHgktTP8We1SCoS47DrQ/edit?usp=sharing"",""จัดที่ดิน!J36"")"),1788.28)</f>
        <v>1788.28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IFERROR(__xludf.DUMMYFUNCTION("IMPORTRANGE(""https://docs.google.com/spreadsheets/d/1QqKyyYR6Q21VydFLVH3TRQUabQu_ym0Zz7PgGX0-kHA/edit?usp=sharing"",""แผน!EU36"")"),1500)</f>
        <v>1500</v>
      </c>
      <c r="J374" s="1207">
        <f ca="1">J381</f>
        <v>952</v>
      </c>
      <c r="K374" s="1208">
        <f t="shared" ca="1" si="163"/>
        <v>63.466666666666669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IFERROR(__xludf.DUMMYFUNCTION("IMPORTRANGE(""https://docs.google.com/spreadsheets/d/1XWAQStnk-4SwqDmLtmXYiTMKHgktTP8We1SCoS47DrQ/edit?usp=sharing"",""จัดที่ดิน!AH36"")"),259)</f>
        <v>259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IFERROR(__xludf.DUMMYFUNCTION("IMPORTRANGE(""https://docs.google.com/spreadsheets/d/1QqKyyYR6Q21VydFLVH3TRQUabQu_ym0Zz7PgGX0-kHA/edit?usp=sharing"",""แผน!ET36"")"),5000)</f>
        <v>5000</v>
      </c>
      <c r="J378" s="863">
        <f ca="1">IFERROR(__xludf.DUMMYFUNCTION("IMPORTRANGE(""https://docs.google.com/spreadsheets/d/1XWAQStnk-4SwqDmLtmXYiTMKHgktTP8We1SCoS47DrQ/edit?usp=sharing"",""จัดที่ดิน!AI36"")"),2554.14)</f>
        <v>2554.14</v>
      </c>
      <c r="K378" s="864">
        <f t="shared" ca="1" si="164"/>
        <v>51.082799999999999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IFERROR(__xludf.DUMMYFUNCTION("IMPORTRANGE(""https://docs.google.com/spreadsheets/d/1QqKyyYR6Q21VydFLVH3TRQUabQu_ym0Zz7PgGX0-kHA/edit?usp=sharing"",""แผน!EU36"")"),1500)</f>
        <v>1500</v>
      </c>
      <c r="J379" s="863">
        <f ca="1">IFERROR(__xludf.DUMMYFUNCTION("IMPORTRANGE(""https://docs.google.com/spreadsheets/d/1XWAQStnk-4SwqDmLtmXYiTMKHgktTP8We1SCoS47DrQ/edit?usp=sharing"",""จัดที่ดิน!AJ36"")"),1184)</f>
        <v>1184</v>
      </c>
      <c r="K379" s="864">
        <f t="shared" ca="1" si="164"/>
        <v>78.933333333333337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IFERROR(__xludf.DUMMYFUNCTION("IMPORTRANGE(""https://docs.google.com/spreadsheets/d/1XWAQStnk-4SwqDmLtmXYiTMKHgktTP8We1SCoS47DrQ/edit?usp=sharing"",""จัดที่ดิน!AK36"")"),16379.63)</f>
        <v>16379.63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IFERROR(__xludf.DUMMYFUNCTION("IMPORTRANGE(""https://docs.google.com/spreadsheets/d/1QqKyyYR6Q21VydFLVH3TRQUabQu_ym0Zz7PgGX0-kHA/edit?usp=sharing"",""แผน!EU36"")"),1500)</f>
        <v>1500</v>
      </c>
      <c r="J381" s="863">
        <f ca="1">IFERROR(__xludf.DUMMYFUNCTION("IMPORTRANGE(""https://docs.google.com/spreadsheets/d/1XWAQStnk-4SwqDmLtmXYiTMKHgktTP8We1SCoS47DrQ/edit?usp=sharing"",""จัดที่ดิน!AL36"")"),952)</f>
        <v>952</v>
      </c>
      <c r="K381" s="864">
        <f t="shared" ca="1" si="164"/>
        <v>63.466666666666669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IFERROR(__xludf.DUMMYFUNCTION("IMPORTRANGE(""https://docs.google.com/spreadsheets/d/1XWAQStnk-4SwqDmLtmXYiTMKHgktTP8We1SCoS47DrQ/edit?usp=sharing"",""จัดที่ดิน!AM36"")"),14103.72)</f>
        <v>14103.72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IFERROR(__xludf.DUMMYFUNCTION("IMPORTRANGE(""https://docs.google.com/spreadsheets/d/1QqKyyYR6Q21VydFLVH3TRQUabQu_ym0Zz7PgGX0-kHA/edit?usp=sharing"",""แผน!EW36"")"),50)</f>
        <v>50</v>
      </c>
      <c r="J385" s="1117">
        <f ca="1">IFERROR(__xludf.DUMMYFUNCTION("IMPORTRANGE(""https://docs.google.com/spreadsheets/d/1XWAQStnk-4SwqDmLtmXYiTMKHgktTP8We1SCoS47DrQ/edit?usp=sharing"",""จัดที่ดิน!AP36"")"),2)</f>
        <v>2</v>
      </c>
      <c r="K385" s="1215">
        <f ca="1">IF(I385&gt;0,J385*100/I385,0)</f>
        <v>4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IFERROR(__xludf.DUMMYFUNCTION("IMPORTRANGE(""https://docs.google.com/spreadsheets/d/1MeEWN-I1oV_STSDYn1IFDPWt_1FKiwhDph83XaGc0o0/edit?usp=sharing"",""งบพรบ!FG36"")"),0)</f>
        <v>0</v>
      </c>
      <c r="M394" s="870">
        <f ca="1">IFERROR(__xludf.DUMMYFUNCTION("IMPORTRANGE(""https://docs.google.com/spreadsheets/d/1MeEWN-I1oV_STSDYn1IFDPWt_1FKiwhDph83XaGc0o0/edit?usp=sharing"",""งบพรบ!FL36"")"),0)</f>
        <v>0</v>
      </c>
      <c r="N394" s="870">
        <f ca="1">IFERROR(__xludf.DUMMYFUNCTION("IMPORTRANGE(""https://docs.google.com/spreadsheets/d/1MeEWN-I1oV_STSDYn1IFDPWt_1FKiwhDph83XaGc0o0/edit?usp=sharing"",""งบพรบ!FN36"")"),0)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IFERROR(__xludf.DUMMYFUNCTION("IMPORTRANGE(""https://docs.google.com/spreadsheets/d/1MeEWN-I1oV_STSDYn1IFDPWt_1FKiwhDph83XaGc0o0/edit?usp=sharing"",""งบพรบ!FJ36"")"),0)</f>
        <v>0</v>
      </c>
      <c r="M397" s="870">
        <f ca="1">IFERROR(__xludf.DUMMYFUNCTION("IMPORTRANGE(""https://docs.google.com/spreadsheets/d/1MeEWN-I1oV_STSDYn1IFDPWt_1FKiwhDph83XaGc0o0/edit?usp=sharing"",""งบพรบ!FM36"")"),0)</f>
        <v>0</v>
      </c>
      <c r="N397" s="870">
        <f ca="1">IFERROR(__xludf.DUMMYFUNCTION("IMPORTRANGE(""https://docs.google.com/spreadsheets/d/1MeEWN-I1oV_STSDYn1IFDPWt_1FKiwhDph83XaGc0o0/edit?usp=sharing"",""งบพรบ!FO36"")"),0)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IFERROR(__xludf.DUMMYFUNCTION("IMPORTRANGE(""https://docs.google.com/spreadsheets/d/1MeEWN-I1oV_STSDYn1IFDPWt_1FKiwhDph83XaGc0o0/edit?usp=sharing"",""งบพรบ!FQ36"")"),0)</f>
        <v>0</v>
      </c>
      <c r="M407" s="870">
        <f ca="1">IFERROR(__xludf.DUMMYFUNCTION("IMPORTRANGE(""https://docs.google.com/spreadsheets/d/1MeEWN-I1oV_STSDYn1IFDPWt_1FKiwhDph83XaGc0o0/edit?usp=sharing"",""งบพรบ!FV36"")"),0)</f>
        <v>0</v>
      </c>
      <c r="N407" s="870">
        <f ca="1">IFERROR(__xludf.DUMMYFUNCTION("IMPORTRANGE(""https://docs.google.com/spreadsheets/d/1MeEWN-I1oV_STSDYn1IFDPWt_1FKiwhDph83XaGc0o0/edit?usp=sharing"",""งบพรบ!FX36"")"),0)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IFERROR(__xludf.DUMMYFUNCTION("IMPORTRANGE(""https://docs.google.com/spreadsheets/d/1MeEWN-I1oV_STSDYn1IFDPWt_1FKiwhDph83XaGc0o0/edit?usp=sharing"",""งบพรบ!FT36"")"),0)</f>
        <v>0</v>
      </c>
      <c r="M410" s="870">
        <f ca="1">IFERROR(__xludf.DUMMYFUNCTION("IMPORTRANGE(""https://docs.google.com/spreadsheets/d/1MeEWN-I1oV_STSDYn1IFDPWt_1FKiwhDph83XaGc0o0/edit?usp=sharing"",""งบพรบ!FW36"")"),0)</f>
        <v>0</v>
      </c>
      <c r="N410" s="870">
        <f ca="1">IFERROR(__xludf.DUMMYFUNCTION("IMPORTRANGE(""https://docs.google.com/spreadsheets/d/1MeEWN-I1oV_STSDYn1IFDPWt_1FKiwhDph83XaGc0o0/edit?usp=sharing"",""งบพรบ!FY36"")"),0)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5479290</v>
      </c>
      <c r="M414" s="1257">
        <f t="shared" si="181"/>
        <v>0</v>
      </c>
      <c r="N414" s="1257">
        <f t="shared" si="181"/>
        <v>2562099.7599999998</v>
      </c>
      <c r="O414" s="1257">
        <f ca="1">IF(L414&gt;0,N414*100/L414,0)</f>
        <v>46.759703538232138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70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2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238260</v>
      </c>
      <c r="M419" s="972">
        <f t="shared" si="184"/>
        <v>0</v>
      </c>
      <c r="N419" s="972">
        <f t="shared" si="184"/>
        <v>54470</v>
      </c>
      <c r="O419" s="972">
        <f t="shared" ref="O419:O424" ca="1" si="185">IF(L419&gt;0,N419*100/L419,0)</f>
        <v>22.861579786787544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238260</v>
      </c>
      <c r="M421" s="870">
        <f t="shared" si="187"/>
        <v>0</v>
      </c>
      <c r="N421" s="870">
        <f t="shared" si="187"/>
        <v>54470</v>
      </c>
      <c r="O421" s="870">
        <f t="shared" ca="1" si="185"/>
        <v>22.861579786787544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238260</v>
      </c>
      <c r="M422" s="864">
        <f t="shared" si="188"/>
        <v>0</v>
      </c>
      <c r="N422" s="864">
        <f t="shared" si="188"/>
        <v>54470</v>
      </c>
      <c r="O422" s="864">
        <f t="shared" ca="1" si="185"/>
        <v>22.861579786787544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IFERROR(__xludf.DUMMYFUNCTION("IMPORTRANGE(""https://docs.google.com/spreadsheets/d/1QqKyyYR6Q21VydFLVH3TRQUabQu_ym0Zz7PgGX0-kHA/edit?usp=sharing"",""แผน!EY36"")"),238260)</f>
        <v>238260</v>
      </c>
      <c r="M424" s="870">
        <v>0</v>
      </c>
      <c r="N424" s="870">
        <f>N425+N426+N427+N428</f>
        <v>54470</v>
      </c>
      <c r="O424" s="870">
        <f t="shared" ca="1" si="185"/>
        <v>22.861579786787544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33240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21230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IFERROR(__xludf.DUMMYFUNCTION("IMPORTRANGE(""https://docs.google.com/spreadsheets/d/1QqKyyYR6Q21VydFLVH3TRQUabQu_ym0Zz7PgGX0-kHA/edit?usp=sharing"",""แผน!FB36"")"),0)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70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2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IFERROR(__xludf.DUMMYFUNCTION("IMPORTRANGE(""https://docs.google.com/spreadsheets/d/1QqKyyYR6Q21VydFLVH3TRQUabQu_ym0Zz7PgGX0-kHA/edit?usp=sharing"",""แผน!FC36"")"),70)</f>
        <v>70</v>
      </c>
      <c r="J435" s="578">
        <v>70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IFERROR(__xludf.DUMMYFUNCTION("IMPORTRANGE(""https://docs.google.com/spreadsheets/d/1QqKyyYR6Q21VydFLVH3TRQUabQu_ym0Zz7PgGX0-kHA/edit?usp=sharing"",""แผน!FD36"")"),50)</f>
        <v>50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IFERROR(__xludf.DUMMYFUNCTION("IMPORTRANGE(""https://docs.google.com/spreadsheets/d/1QqKyyYR6Q21VydFLVH3TRQUabQu_ym0Zz7PgGX0-kHA/edit?usp=sharing"",""แผน!FE36"")"),1)</f>
        <v>1</v>
      </c>
      <c r="J438" s="992"/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IFERROR(__xludf.DUMMYFUNCTION("IMPORTRANGE(""https://docs.google.com/spreadsheets/d/1QqKyyYR6Q21VydFLVH3TRQUabQu_ym0Zz7PgGX0-kHA/edit?usp=sharing"",""แผน!FF36"")"),20)</f>
        <v>20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IFERROR(__xludf.DUMMYFUNCTION("IMPORTRANGE(""https://docs.google.com/spreadsheets/d/1QqKyyYR6Q21VydFLVH3TRQUabQu_ym0Zz7PgGX0-kHA/edit?usp=sharing"",""แผน!FG36"")"),1)</f>
        <v>1</v>
      </c>
      <c r="J440" s="992"/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IFERROR(__xludf.DUMMYFUNCTION("IMPORTRANGE(""https://docs.google.com/spreadsheets/d/1QqKyyYR6Q21VydFLVH3TRQUabQu_ym0Zz7PgGX0-kHA/edit?usp=sharing"",""แผน!FH36"")"),0)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70</v>
      </c>
      <c r="J442" s="1285">
        <f t="shared" si="195"/>
        <v>70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140</v>
      </c>
      <c r="J443" s="1270">
        <f t="shared" si="196"/>
        <v>140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444200</v>
      </c>
      <c r="M444" s="1000">
        <f t="shared" si="197"/>
        <v>0</v>
      </c>
      <c r="N444" s="1000">
        <f t="shared" si="197"/>
        <v>347545.01</v>
      </c>
      <c r="O444" s="1000">
        <f t="shared" ref="O444:O449" ca="1" si="198">IF(L444&gt;0,N444*100/L444,0)</f>
        <v>78.240659612787027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444200</v>
      </c>
      <c r="M446" s="870">
        <f t="shared" si="200"/>
        <v>0</v>
      </c>
      <c r="N446" s="870">
        <f t="shared" si="200"/>
        <v>347545.01</v>
      </c>
      <c r="O446" s="870">
        <f t="shared" ca="1" si="198"/>
        <v>78.240659612787027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444200</v>
      </c>
      <c r="M447" s="864">
        <f t="shared" si="201"/>
        <v>0</v>
      </c>
      <c r="N447" s="864">
        <f t="shared" si="201"/>
        <v>347545.01</v>
      </c>
      <c r="O447" s="864">
        <f t="shared" ca="1" si="198"/>
        <v>78.240659612787027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IFERROR(__xludf.DUMMYFUNCTION("IMPORTRANGE(""https://docs.google.com/spreadsheets/d/1QqKyyYR6Q21VydFLVH3TRQUabQu_ym0Zz7PgGX0-kHA/edit?usp=sharing"",""แผน!FJ36"")"),444200)</f>
        <v>444200</v>
      </c>
      <c r="M449" s="870">
        <v>0</v>
      </c>
      <c r="N449" s="870">
        <f>N450+N451+N452+N453</f>
        <v>347545.01</v>
      </c>
      <c r="O449" s="870">
        <f t="shared" ca="1" si="198"/>
        <v>78.240659612787027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129625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159000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50700.01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8220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IFERROR(__xludf.DUMMYFUNCTION("IMPORTRANGE(""https://docs.google.com/spreadsheets/d/1QqKyyYR6Q21VydFLVH3TRQUabQu_ym0Zz7PgGX0-kHA/edit?usp=sharing"",""แผน!FM36"")"),0)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IFERROR(__xludf.DUMMYFUNCTION("IMPORTRANGE(""https://docs.google.com/spreadsheets/d/1QqKyyYR6Q21VydFLVH3TRQUabQu_ym0Zz7PgGX0-kHA/edit?usp=sharing"",""แผน!FN36"")"),70)</f>
        <v>70</v>
      </c>
      <c r="J460" s="992">
        <v>70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IFERROR(__xludf.DUMMYFUNCTION("IMPORTRANGE(""https://docs.google.com/spreadsheets/d/1QqKyyYR6Q21VydFLVH3TRQUabQu_ym0Zz7PgGX0-kHA/edit?usp=sharing"",""แผน!FO36"")"),140)</f>
        <v>140</v>
      </c>
      <c r="J462" s="992">
        <v>140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IFERROR(__xludf.DUMMYFUNCTION("IMPORTRANGE(""https://docs.google.com/spreadsheets/d/1QqKyyYR6Q21VydFLVH3TRQUabQu_ym0Zz7PgGX0-kHA/edit?usp=sharing"",""แผน!FO36"")"),140)</f>
        <v>140</v>
      </c>
      <c r="J463" s="992">
        <v>140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IFERROR(__xludf.DUMMYFUNCTION("IMPORTRANGE(""https://docs.google.com/spreadsheets/d/1QqKyyYR6Q21VydFLVH3TRQUabQu_ym0Zz7PgGX0-kHA/edit?usp=sharing"",""แผน!FN36"")"),70)</f>
        <v>70</v>
      </c>
      <c r="J464" s="992">
        <v>70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IFERROR(__xludf.DUMMYFUNCTION("IMPORTRANGE(""https://docs.google.com/spreadsheets/d/1QqKyyYR6Q21VydFLVH3TRQUabQu_ym0Zz7PgGX0-kHA/edit?usp=sharing"",""แผน!FX36"")"),131)</f>
        <v>131</v>
      </c>
      <c r="J465" s="1285">
        <f>J485+J489+J492</f>
        <v>134</v>
      </c>
      <c r="K465" s="1286">
        <f t="shared" ref="K465:K466" ca="1" si="205">IF(I465&gt;0,J465*100/I465,0)</f>
        <v>102.29007633587786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IFERROR(__xludf.DUMMYFUNCTION("IMPORTRANGE(""https://docs.google.com/spreadsheets/d/1QqKyyYR6Q21VydFLVH3TRQUabQu_ym0Zz7PgGX0-kHA/edit?usp=sharing"",""แผน!FW36"")"),1300)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1167258</v>
      </c>
      <c r="M467" s="1000">
        <f t="shared" si="206"/>
        <v>0</v>
      </c>
      <c r="N467" s="1000">
        <f t="shared" si="206"/>
        <v>247923.35</v>
      </c>
      <c r="O467" s="1000">
        <f t="shared" ref="O467:O472" ca="1" si="207">IF(L467&gt;0,N467*100/L467,0)</f>
        <v>21.239807309095333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1167258</v>
      </c>
      <c r="M469" s="870">
        <f t="shared" si="209"/>
        <v>0</v>
      </c>
      <c r="N469" s="870">
        <f t="shared" si="209"/>
        <v>247923.35</v>
      </c>
      <c r="O469" s="870">
        <f t="shared" ca="1" si="207"/>
        <v>21.239807309095333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1167258</v>
      </c>
      <c r="M470" s="864">
        <f t="shared" si="210"/>
        <v>0</v>
      </c>
      <c r="N470" s="864">
        <f t="shared" si="210"/>
        <v>247923.35</v>
      </c>
      <c r="O470" s="864">
        <f t="shared" ca="1" si="207"/>
        <v>21.239807309095333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IFERROR(__xludf.DUMMYFUNCTION("IMPORTRANGE(""https://docs.google.com/spreadsheets/d/1QqKyyYR6Q21VydFLVH3TRQUabQu_ym0Zz7PgGX0-kHA/edit?usp=sharing"",""แผน!FS36"")"),1167258)</f>
        <v>1167258</v>
      </c>
      <c r="M472" s="870">
        <v>0</v>
      </c>
      <c r="N472" s="870">
        <f>N473+N474+N475+N476</f>
        <v>247923.35</v>
      </c>
      <c r="O472" s="870">
        <f t="shared" ca="1" si="207"/>
        <v>21.239807309095333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180050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49833.35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18040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IFERROR(__xludf.DUMMYFUNCTION("IMPORTRANGE(""https://docs.google.com/spreadsheets/d/1QqKyyYR6Q21VydFLVH3TRQUabQu_ym0Zz7PgGX0-kHA/edit?usp=sharing"",""แผน!FV36"")"),0)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IFERROR(__xludf.DUMMYFUNCTION("IMPORTRANGE(""https://docs.google.com/spreadsheets/d/1QqKyyYR6Q21VydFLVH3TRQUabQu_ym0Zz7PgGX0-kHA/edit?usp=sharing"",""แผน!FY36"")"),1170)</f>
        <v>1170</v>
      </c>
      <c r="J483" s="992">
        <v>1247</v>
      </c>
      <c r="K483" s="864">
        <f ca="1">IF(I483&gt;0,J483*100/I483,0)</f>
        <v>106.58119658119658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IFERROR(__xludf.DUMMYFUNCTION("IMPORTRANGE(""https://docs.google.com/spreadsheets/d/1QqKyyYR6Q21VydFLVH3TRQUabQu_ym0Zz7PgGX0-kHA/edit?usp=sharing"",""แผน!FZ36"")"),117)</f>
        <v>117</v>
      </c>
      <c r="J485" s="992">
        <v>110</v>
      </c>
      <c r="K485" s="864">
        <f ca="1">IF(I485&gt;0,J485*100/I485,0)</f>
        <v>94.017094017094024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IFERROR(__xludf.DUMMYFUNCTION("IMPORTRANGE(""https://docs.google.com/spreadsheets/d/1QqKyyYR6Q21VydFLVH3TRQUabQu_ym0Zz7PgGX0-kHA/edit?usp=sharing"",""แผน!GA36"")"),130)</f>
        <v>130</v>
      </c>
      <c r="J487" s="992">
        <v>57</v>
      </c>
      <c r="K487" s="864">
        <f ca="1">IF(I487&gt;0,J487*100/I487,0)</f>
        <v>43.846153846153847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IFERROR(__xludf.DUMMYFUNCTION("IMPORTRANGE(""https://docs.google.com/spreadsheets/d/1QqKyyYR6Q21VydFLVH3TRQUabQu_ym0Zz7PgGX0-kHA/edit?usp=sharing"",""แผน!GB36"")"),13)</f>
        <v>13</v>
      </c>
      <c r="J489" s="992">
        <v>23</v>
      </c>
      <c r="K489" s="864">
        <f ca="1">IF(I489&gt;0,J489*100/I489,0)</f>
        <v>176.92307692307693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IFERROR(__xludf.DUMMYFUNCTION("IMPORTRANGE(""https://docs.google.com/spreadsheets/d/1QqKyyYR6Q21VydFLVH3TRQUabQu_ym0Zz7PgGX0-kHA/edit?usp=sharing"",""แผน!GC36"")"),1)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IFERROR(__xludf.DUMMYFUNCTION("IMPORTRANGE(""https://docs.google.com/spreadsheets/d/1QqKyyYR6Q21VydFLVH3TRQUabQu_ym0Zz7PgGX0-kHA/edit?usp=sharing"",""แผน!FY36"")"),1170)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IFERROR(__xludf.DUMMYFUNCTION("IMPORTRANGE(""https://docs.google.com/spreadsheets/d/1QqKyyYR6Q21VydFLVH3TRQUabQu_ym0Zz7PgGX0-kHA/edit?usp=sharing"",""แผน!GA36"")"),130)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50</v>
      </c>
      <c r="J522" s="1350">
        <f t="shared" ca="1" si="225"/>
        <v>50</v>
      </c>
      <c r="K522" s="1351">
        <f ca="1">IF(I522&gt;0,J522*100/I522,0)</f>
        <v>100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427460</v>
      </c>
      <c r="M523" s="1000">
        <f t="shared" si="226"/>
        <v>0</v>
      </c>
      <c r="N523" s="1000">
        <f t="shared" si="226"/>
        <v>143490</v>
      </c>
      <c r="O523" s="1000">
        <f t="shared" ref="O523:O528" ca="1" si="227">IF(L523&gt;0,N523*100/L523,0)</f>
        <v>33.568053151172037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427460</v>
      </c>
      <c r="M525" s="870">
        <f t="shared" si="229"/>
        <v>0</v>
      </c>
      <c r="N525" s="870">
        <f t="shared" si="229"/>
        <v>143490</v>
      </c>
      <c r="O525" s="870">
        <f t="shared" ca="1" si="227"/>
        <v>33.568053151172037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427460</v>
      </c>
      <c r="M526" s="864">
        <f t="shared" si="230"/>
        <v>0</v>
      </c>
      <c r="N526" s="864">
        <f t="shared" si="230"/>
        <v>143490</v>
      </c>
      <c r="O526" s="864">
        <f t="shared" ca="1" si="227"/>
        <v>33.568053151172037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IFERROR(__xludf.DUMMYFUNCTION("IMPORTRANGE(""https://docs.google.com/spreadsheets/d/1QqKyyYR6Q21VydFLVH3TRQUabQu_ym0Zz7PgGX0-kHA/edit?usp=sharing"",""แผน!GQ36"")"),427460)</f>
        <v>427460</v>
      </c>
      <c r="M528" s="870">
        <v>0</v>
      </c>
      <c r="N528" s="870">
        <f>N529+N530+N531+N532</f>
        <v>143490</v>
      </c>
      <c r="O528" s="870">
        <f t="shared" ca="1" si="227"/>
        <v>33.568053151172037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141630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1860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IFERROR(__xludf.DUMMYFUNCTION("IMPORTRANGE(""https://docs.google.com/spreadsheets/d/1QqKyyYR6Q21VydFLVH3TRQUabQu_ym0Zz7PgGX0-kHA/edit?usp=sharing"",""แผน!GT36"")"),0)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IFERROR(__xludf.DUMMYFUNCTION("IMPORTRANGE(""https://docs.google.com/spreadsheets/d/1QqKyyYR6Q21VydFLVH3TRQUabQu_ym0Zz7PgGX0-kHA/edit?usp=sharing"",""แผน!GU36"")"),50)</f>
        <v>50</v>
      </c>
      <c r="J537" s="999">
        <f ca="1">IF(AND(J538=I538,J539=I539,J540=I540,J541=I541),I537,0)</f>
        <v>50</v>
      </c>
      <c r="K537" s="864">
        <f t="shared" ref="K537:K543" ca="1" si="234">IF(I537&gt;0,J537*100/I537,0)</f>
        <v>100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IFERROR(__xludf.DUMMYFUNCTION("IMPORTRANGE(""https://docs.google.com/spreadsheets/d/1QqKyyYR6Q21VydFLVH3TRQUabQu_ym0Zz7PgGX0-kHA/edit?usp=sharing"",""แผน!GV36"")"),50)</f>
        <v>50</v>
      </c>
      <c r="J538" s="992">
        <v>50</v>
      </c>
      <c r="K538" s="864">
        <f t="shared" ca="1" si="234"/>
        <v>100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IFERROR(__xludf.DUMMYFUNCTION("IMPORTRANGE(""https://docs.google.com/spreadsheets/d/1QqKyyYR6Q21VydFLVH3TRQUabQu_ym0Zz7PgGX0-kHA/edit?usp=sharing"",""แผน!GW36"")"),0)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IFERROR(__xludf.DUMMYFUNCTION("IMPORTRANGE(""https://docs.google.com/spreadsheets/d/1QqKyyYR6Q21VydFLVH3TRQUabQu_ym0Zz7PgGX0-kHA/edit?usp=sharing"",""แผน!GX36"")"),0)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IFERROR(__xludf.DUMMYFUNCTION("IMPORTRANGE(""https://docs.google.com/spreadsheets/d/1QqKyyYR6Q21VydFLVH3TRQUabQu_ym0Zz7PgGX0-kHA/edit?usp=sharing"",""แผน!GY36"")"),50)</f>
        <v>50</v>
      </c>
      <c r="J541" s="992">
        <v>50</v>
      </c>
      <c r="K541" s="864">
        <f t="shared" ca="1" si="234"/>
        <v>100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IFERROR(__xludf.DUMMYFUNCTION("IMPORTRANGE(""https://docs.google.com/spreadsheets/d/1QqKyyYR6Q21VydFLVH3TRQUabQu_ym0Zz7PgGX0-kHA/edit?usp=sharing"",""แผน!GZ36"")"),50)</f>
        <v>50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103382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759787</v>
      </c>
      <c r="M544" s="972">
        <f t="shared" si="236"/>
        <v>0</v>
      </c>
      <c r="N544" s="972">
        <f t="shared" si="236"/>
        <v>336552.32</v>
      </c>
      <c r="O544" s="972">
        <f t="shared" ref="O544:O549" ca="1" si="237">IF(L544&gt;0,N544*100/L544,0)</f>
        <v>44.295614428780695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759787</v>
      </c>
      <c r="M546" s="870">
        <f t="shared" si="240"/>
        <v>0</v>
      </c>
      <c r="N546" s="870">
        <f t="shared" si="240"/>
        <v>336552.32</v>
      </c>
      <c r="O546" s="870">
        <f t="shared" ca="1" si="237"/>
        <v>44.295614428780695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759787</v>
      </c>
      <c r="M547" s="864">
        <f t="shared" si="241"/>
        <v>0</v>
      </c>
      <c r="N547" s="864">
        <f t="shared" si="241"/>
        <v>336552.32</v>
      </c>
      <c r="O547" s="864">
        <f t="shared" ca="1" si="237"/>
        <v>44.295614428780695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IFERROR(__xludf.DUMMYFUNCTION("IMPORTRANGE(""https://docs.google.com/spreadsheets/d/1QqKyyYR6Q21VydFLVH3TRQUabQu_ym0Zz7PgGX0-kHA/edit?usp=sharing"",""แผน!HB36"")"),759787)</f>
        <v>759787</v>
      </c>
      <c r="M549" s="870">
        <v>0</v>
      </c>
      <c r="N549" s="870">
        <f>N550+N551+N552+N553+N554</f>
        <v>336552.32</v>
      </c>
      <c r="O549" s="870">
        <f t="shared" ca="1" si="237"/>
        <v>44.295614428780695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51566.67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284985.65000000002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IFERROR(__xludf.DUMMYFUNCTION("IMPORTRANGE(""https://docs.google.com/spreadsheets/d/1QqKyyYR6Q21VydFLVH3TRQUabQu_ym0Zz7PgGX0-kHA/edit?usp=sharing"",""แผน!HF36"")"),0)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103382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IFERROR(__xludf.DUMMYFUNCTION("IMPORTRANGE(""https://docs.google.com/spreadsheets/d/1QqKyyYR6Q21VydFLVH3TRQUabQu_ym0Zz7PgGX0-kHA/edit?usp=sharing"",""แผน!HH36"")"),103382)</f>
        <v>103382</v>
      </c>
      <c r="J560" s="998">
        <f t="shared" ref="J560:J561" si="247">J562+J564+J566</f>
        <v>103382.3475</v>
      </c>
      <c r="K560" s="1142">
        <f t="shared" ca="1" si="246"/>
        <v>100.00033613201525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IFERROR(__xludf.DUMMYFUNCTION("IMPORTRANGE(""https://docs.google.com/spreadsheets/d/1QqKyyYR6Q21VydFLVH3TRQUabQu_ym0Zz7PgGX0-kHA/edit?usp=sharing"",""แผน!HG36"")"),10317)</f>
        <v>10317</v>
      </c>
      <c r="J561" s="998">
        <f t="shared" si="247"/>
        <v>10317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75688.600000000006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8094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25321.647499999999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2006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2372.1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217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IFERROR(__xludf.DUMMYFUNCTION("IMPORTRANGE(""https://docs.google.com/spreadsheets/d/1QqKyyYR6Q21VydFLVH3TRQUabQu_ym0Zz7PgGX0-kHA/edit?usp=sharing"",""แผน!HH36"")"),103382)</f>
        <v>103382</v>
      </c>
      <c r="J568" s="999">
        <f t="shared" ref="J568:J569" si="248">J570+J572+J574</f>
        <v>103382.13400000001</v>
      </c>
      <c r="K568" s="1142">
        <f t="shared" ref="K568:K569" ca="1" si="249">IF(I568&gt;0,J568*100/I568,0)</f>
        <v>100.00012961637422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IFERROR(__xludf.DUMMYFUNCTION("IMPORTRANGE(""https://docs.google.com/spreadsheets/d/1QqKyyYR6Q21VydFLVH3TRQUabQu_ym0Zz7PgGX0-kHA/edit?usp=sharing"",""แผน!HG36"")"),10317)</f>
        <v>10317</v>
      </c>
      <c r="J569" s="999">
        <f t="shared" si="248"/>
        <v>10317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79701.981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8455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20680.03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1588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3000.123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274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IFERROR(__xludf.DUMMYFUNCTION("IMPORTRANGE(""https://docs.google.com/spreadsheets/d/1QqKyyYR6Q21VydFLVH3TRQUabQu_ym0Zz7PgGX0-kHA/edit?usp=sharing"",""แผน!HH36"")"),103382)</f>
        <v>103382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IFERROR(__xludf.DUMMYFUNCTION("IMPORTRANGE(""https://docs.google.com/spreadsheets/d/1QqKyyYR6Q21VydFLVH3TRQUabQu_ym0Zz7PgGX0-kHA/edit?usp=sharing"",""แผน!HG36"")"),10317)</f>
        <v>10317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10751.98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IFERROR(__xludf.DUMMYFUNCTION("IMPORTRANGE(""https://docs.google.com/spreadsheets/d/1QqKyyYR6Q21VydFLVH3TRQUabQu_ym0Zz7PgGX0-kHA/edit?usp=sharing"",""แผน!HJ36"")"),10751.98)</f>
        <v>10751.98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IFERROR(__xludf.DUMMYFUNCTION("IMPORTRANGE(""https://docs.google.com/spreadsheets/d/1QqKyyYR6Q21VydFLVH3TRQUabQu_ym0Zz7PgGX0-kHA/edit?usp=sharing"",""แผน!HI36"")"),823)</f>
        <v>823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IFERROR(__xludf.DUMMYFUNCTION("IMPORTRANGE(""https://docs.google.com/spreadsheets/d/1QqKyyYR6Q21VydFLVH3TRQUabQu_ym0Zz7PgGX0-kHA/edit?usp=sharing"",""แผน!HL36"")"),199)</f>
        <v>199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IFERROR(__xludf.DUMMYFUNCTION("IMPORTRANGE(""https://docs.google.com/spreadsheets/d/1QqKyyYR6Q21VydFLVH3TRQUabQu_ym0Zz7PgGX0-kHA/edit?usp=sharing"",""แผน!HK36"")"),14)</f>
        <v>14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2500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2073125</v>
      </c>
      <c r="M629" s="1000">
        <f t="shared" si="263"/>
        <v>0</v>
      </c>
      <c r="N629" s="1000">
        <f t="shared" si="263"/>
        <v>1199402.51</v>
      </c>
      <c r="O629" s="1000">
        <f t="shared" ref="O629:O634" ca="1" si="264">IF(L629&gt;0,N629*100/L629,0)</f>
        <v>57.854809044317157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2073125</v>
      </c>
      <c r="M631" s="870">
        <f t="shared" si="266"/>
        <v>0</v>
      </c>
      <c r="N631" s="870">
        <f t="shared" si="266"/>
        <v>1199402.51</v>
      </c>
      <c r="O631" s="870">
        <f t="shared" ca="1" si="264"/>
        <v>57.854809044317157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2073125</v>
      </c>
      <c r="M632" s="864">
        <f t="shared" si="267"/>
        <v>0</v>
      </c>
      <c r="N632" s="864">
        <f t="shared" si="267"/>
        <v>1199402.51</v>
      </c>
      <c r="O632" s="864">
        <f t="shared" ca="1" si="264"/>
        <v>57.854809044317157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IFERROR(__xludf.DUMMYFUNCTION("IMPORTRANGE(""https://docs.google.com/spreadsheets/d/1QqKyyYR6Q21VydFLVH3TRQUabQu_ym0Zz7PgGX0-kHA/edit?usp=sharing"",""แผน!HN36"")"),2073125)</f>
        <v>2073125</v>
      </c>
      <c r="M634" s="870">
        <v>0</v>
      </c>
      <c r="N634" s="870">
        <f>N635+N636+N637+N638</f>
        <v>1199402.51</v>
      </c>
      <c r="O634" s="870">
        <f t="shared" ca="1" si="264"/>
        <v>57.854809044317157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155566.67000000001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1043835.84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IFERROR(__xludf.DUMMYFUNCTION("IMPORTRANGE(""https://docs.google.com/spreadsheets/d/1QqKyyYR6Q21VydFLVH3TRQUabQu_ym0Zz7PgGX0-kHA/edit?usp=sharing"",""แผน!HQ36"")"),0)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IFERROR(__xludf.DUMMYFUNCTION("IMPORTRANGE(""https://docs.google.com/spreadsheets/d/1QqKyyYR6Q21VydFLVH3TRQUabQu_ym0Zz7PgGX0-kHA/edit?usp=sharing"",""แผน!HR36"")"),0)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IFERROR(__xludf.DUMMYFUNCTION("IMPORTRANGE(""https://docs.google.com/spreadsheets/d/1QqKyyYR6Q21VydFLVH3TRQUabQu_ym0Zz7PgGX0-kHA/edit?usp=sharing"",""แผน!HR36"")"),0)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IFERROR(__xludf.DUMMYFUNCTION("IMPORTRANGE(""https://docs.google.com/spreadsheets/d/1XWAQStnk-4SwqDmLtmXYiTMKHgktTP8We1SCoS47DrQ/edit?usp=sharing"",""จัดที่ดิน!AS36"")"),587)</f>
        <v>587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IFERROR(__xludf.DUMMYFUNCTION("IMPORTRANGE(""https://docs.google.com/spreadsheets/d/1XWAQStnk-4SwqDmLtmXYiTMKHgktTP8We1SCoS47DrQ/edit?usp=sharing"",""จัดที่ดิน!AT36"")"),441.92)</f>
        <v>441.92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IFERROR(__xludf.DUMMYFUNCTION("IMPORTRANGE(""https://docs.google.com/spreadsheets/d/1QqKyyYR6Q21VydFLVH3TRQUabQu_ym0Zz7PgGX0-kHA/edit?usp=sharing"",""แผน!HS36"")"),2500)</f>
        <v>2500</v>
      </c>
      <c r="J647" s="863">
        <f ca="1">IFERROR(__xludf.DUMMYFUNCTION("IMPORTRANGE(""https://docs.google.com/spreadsheets/d/1XWAQStnk-4SwqDmLtmXYiTMKHgktTP8We1SCoS47DrQ/edit?usp=sharing"",""จัดที่ดิน!AU36"")"),2439)</f>
        <v>2439</v>
      </c>
      <c r="K647" s="978">
        <f t="shared" ca="1" si="271"/>
        <v>97.56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IFERROR(__xludf.DUMMYFUNCTION("IMPORTRANGE(""https://docs.google.com/spreadsheets/d/1XWAQStnk-4SwqDmLtmXYiTMKHgktTP8We1SCoS47DrQ/edit?usp=sharing"",""จัดที่ดิน!AV36"")"),1461.69)</f>
        <v>1461.69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IFERROR(__xludf.DUMMYFUNCTION("IMPORTRANGE(""https://docs.google.com/spreadsheets/d/1QqKyyYR6Q21VydFLVH3TRQUabQu_ym0Zz7PgGX0-kHA/edit?usp=sharing"",""แผน!HS36"")"),2500)</f>
        <v>2500</v>
      </c>
      <c r="J649" s="863">
        <f ca="1">IFERROR(__xludf.DUMMYFUNCTION("IMPORTRANGE(""https://docs.google.com/spreadsheets/d/1XWAQStnk-4SwqDmLtmXYiTMKHgktTP8We1SCoS47DrQ/edit?usp=sharing"",""จัดที่ดิน!AW36"")"),2171)</f>
        <v>2171</v>
      </c>
      <c r="K649" s="978">
        <f t="shared" ca="1" si="271"/>
        <v>86.84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IFERROR(__xludf.DUMMYFUNCTION("IMPORTRANGE(""https://docs.google.com/spreadsheets/d/1XWAQStnk-4SwqDmLtmXYiTMKHgktTP8We1SCoS47DrQ/edit?usp=sharing"",""จัดที่ดิน!AX36"")"),1281.55)</f>
        <v>1281.55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IFERROR(__xludf.DUMMYFUNCTION("IMPORTRANGE(""https://docs.google.com/spreadsheets/d/1QqKyyYR6Q21VydFLVH3TRQUabQu_ym0Zz7PgGX0-kHA/edit?usp=sharing"",""แผน!HS36"")"),2500)</f>
        <v>2500</v>
      </c>
      <c r="J651" s="863">
        <f ca="1">IFERROR(__xludf.DUMMYFUNCTION("IMPORTRANGE(""https://docs.google.com/spreadsheets/d/1XWAQStnk-4SwqDmLtmXYiTMKHgktTP8We1SCoS47DrQ/edit?usp=sharing"",""จัดที่ดิน!AY36"")"),0)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IFERROR(__xludf.DUMMYFUNCTION("IMPORTRANGE(""https://docs.google.com/spreadsheets/d/1XWAQStnk-4SwqDmLtmXYiTMKHgktTP8We1SCoS47DrQ/edit?usp=sharing"",""จัดที่ดิน!AZ36"")"),0)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320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28800</v>
      </c>
      <c r="M655" s="1000">
        <f t="shared" si="273"/>
        <v>0</v>
      </c>
      <c r="N655" s="1000">
        <f t="shared" si="273"/>
        <v>18440</v>
      </c>
      <c r="O655" s="1000">
        <f t="shared" ref="O655:O660" ca="1" si="274">IF(L655&gt;0,N655*100/L655,0)</f>
        <v>64.027777777777771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28800</v>
      </c>
      <c r="M657" s="870">
        <f t="shared" si="276"/>
        <v>0</v>
      </c>
      <c r="N657" s="870">
        <f t="shared" si="276"/>
        <v>18440</v>
      </c>
      <c r="O657" s="870">
        <f t="shared" ca="1" si="274"/>
        <v>64.027777777777771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28800</v>
      </c>
      <c r="M658" s="864">
        <f t="shared" si="277"/>
        <v>0</v>
      </c>
      <c r="N658" s="864">
        <f t="shared" si="277"/>
        <v>18440</v>
      </c>
      <c r="O658" s="864">
        <f t="shared" ca="1" si="274"/>
        <v>64.027777777777771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IFERROR(__xludf.DUMMYFUNCTION("IMPORTRANGE(""https://docs.google.com/spreadsheets/d/1QqKyyYR6Q21VydFLVH3TRQUabQu_ym0Zz7PgGX0-kHA/edit?usp=sharing"",""แผน!HV36"")"),28800)</f>
        <v>28800</v>
      </c>
      <c r="M660" s="870">
        <v>0</v>
      </c>
      <c r="N660" s="870">
        <f>N661+N662+N663+N664</f>
        <v>18440</v>
      </c>
      <c r="O660" s="870">
        <f t="shared" ca="1" si="274"/>
        <v>64.027777777777771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18440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IFERROR(__xludf.DUMMYFUNCTION("IMPORTRANGE(""https://docs.google.com/spreadsheets/d/1QqKyyYR6Q21VydFLVH3TRQUabQu_ym0Zz7PgGX0-kHA/edit?usp=sharing"",""แผน!IA36"")"),320)</f>
        <v>320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IFERROR(__xludf.DUMMYFUNCTION("IMPORTRANGE(""https://docs.google.com/spreadsheets/d/1QqKyyYR6Q21VydFLVH3TRQUabQu_ym0Zz7PgGX0-kHA/edit?usp=sharing"",""แผน!HZ36"")"),6)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IFERROR(__xludf.DUMMYFUNCTION("IMPORTRANGE(""https://docs.google.com/spreadsheets/d/1QqKyyYR6Q21VydFLVH3TRQUabQu_ym0Zz7PgGX0-kHA/edit?usp=sharing"",""แผน!HZ36"")"),6)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2596</v>
      </c>
      <c r="K672" s="864">
        <f t="shared" ref="K672:K675" ca="1" si="281">IF(I$669&gt;0,J672*100/I$669,0)</f>
        <v>811.25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1223</v>
      </c>
      <c r="K673" s="864">
        <f t="shared" ca="1" si="281"/>
        <v>382.1875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IFERROR(__xludf.DUMMYFUNCTION("IMPORTRANGE(""https://docs.google.com/spreadsheets/d/1QqKyyYR6Q21VydFLVH3TRQUabQu_ym0Zz7PgGX0-kHA/edit?usp=sharing"",""แผน!IB36"")"),0)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5200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5200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5200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IFERROR(__xludf.DUMMYFUNCTION("IMPORTRANGE(""https://docs.google.com/spreadsheets/d/1QqKyyYR6Q21VydFLVH3TRQUabQu_ym0Zz7PgGX0-kHA/edit?usp=sharing"",""แผน!HW36"")"),5200)</f>
        <v>5200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IFERROR(__xludf.DUMMYFUNCTION("IMPORTRANGE(""https://docs.google.com/spreadsheets/d/1QqKyyYR6Q21VydFLVH3TRQUabQu_ym0Zz7PgGX0-kHA/edit?usp=sharing"",""แผน!IC36"")"),0)</f>
        <v>0</v>
      </c>
      <c r="J699" s="863">
        <f ca="1">IFERROR(__xludf.DUMMYFUNCTION("IMPORTRANGE(""https://docs.google.com/spreadsheets/d/1XWAQStnk-4SwqDmLtmXYiTMKHgktTP8We1SCoS47DrQ/edit?usp=sharing"",""จัดที่ดิน!BB36"")"),0)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IFERROR(__xludf.DUMMYFUNCTION("IMPORTRANGE(""https://docs.google.com/spreadsheets/d/1QqKyyYR6Q21VydFLVH3TRQUabQu_ym0Zz7PgGX0-kHA/edit?usp=sharing"",""แผน!ID36"")"),35)</f>
        <v>35</v>
      </c>
      <c r="J700" s="863">
        <f ca="1">IFERROR(__xludf.DUMMYFUNCTION("IMPORTRANGE(""https://docs.google.com/spreadsheets/d/1XWAQStnk-4SwqDmLtmXYiTMKHgktTP8We1SCoS47DrQ/edit?usp=sharing"",""จัดที่ดิน!BD36"")"),5)</f>
        <v>5</v>
      </c>
      <c r="K700" s="864">
        <f t="shared" ca="1" si="290"/>
        <v>14.285714285714286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IFERROR(__xludf.DUMMYFUNCTION("IMPORTRANGE(""https://docs.google.com/spreadsheets/d/1QqKyyYR6Q21VydFLVH3TRQUabQu_ym0Zz7PgGX0-kHA/edit?usp=sharing"",""แผน!IE36"")"),0)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IFERROR(__xludf.DUMMYFUNCTION("IMPORTRANGE(""https://docs.google.com/spreadsheets/d/1QqKyyYR6Q21VydFLVH3TRQUabQu_ym0Zz7PgGX0-kHA/edit?usp=sharing"",""แผน!IF36"")"),0)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IFERROR(__xludf.DUMMYFUNCTION("IMPORTRANGE(""https://docs.google.com/spreadsheets/d/1QqKyyYR6Q21VydFLVH3TRQUabQu_ym0Zz7PgGX0-kHA/edit?usp=sharing"",""แผน!IG36"")"),0)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IFERROR(__xludf.DUMMYFUNCTION("IMPORTRANGE(""https://docs.google.com/spreadsheets/d/1QqKyyYR6Q21VydFLVH3TRQUabQu_ym0Zz7PgGX0-kHA/edit?usp=sharing"",""แผน!IH36"")"),0)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IFERROR(__xludf.DUMMYFUNCTION("IMPORTRANGE(""https://docs.google.com/spreadsheets/d/1XWAQStnk-4SwqDmLtmXYiTMKHgktTP8We1SCoS47DrQ/edit?usp=sharing"",""จัดที่ดิน!BF36"")"),0)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IFERROR(__xludf.DUMMYFUNCTION("IMPORTRANGE(""https://docs.google.com/spreadsheets/d/1XWAQStnk-4SwqDmLtmXYiTMKHgktTP8We1SCoS47DrQ/edit?usp=sharing"",""จัดที่ดิน!BG36"")"),0)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IFERROR(__xludf.DUMMYFUNCTION("IMPORTRANGE(""https://docs.google.com/spreadsheets/d/1QqKyyYR6Q21VydFLVH3TRQUabQu_ym0Zz7PgGX0-kHA/edit?usp=sharing"",""แผน!II36"")"),0)</f>
        <v>0</v>
      </c>
      <c r="J720" s="863">
        <f ca="1">IFERROR(__xludf.DUMMYFUNCTION("IMPORTRANGE(""https://docs.google.com/spreadsheets/d/1XWAQStnk-4SwqDmLtmXYiTMKHgktTP8We1SCoS47DrQ/edit?usp=sharing"",""จัดที่ดิน!BH36"")"),0)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IFERROR(__xludf.DUMMYFUNCTION("IMPORTRANGE(""https://docs.google.com/spreadsheets/d/1QqKyyYR6Q21VydFLVH3TRQUabQu_ym0Zz7PgGX0-kHA/edit?usp=sharing"",""แผน!IJ36"")"),0)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IFERROR(__xludf.DUMMYFUNCTION("IMPORTRANGE(""https://docs.google.com/spreadsheets/d/1QqKyyYR6Q21VydFLVH3TRQUabQu_ym0Zz7PgGX0-kHA/edit?usp=sharing"",""แผน!IK36"")"),0)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IFERROR(__xludf.DUMMYFUNCTION("IMPORTRANGE(""https://docs.google.com/spreadsheets/d/1QqKyyYR6Q21VydFLVH3TRQUabQu_ym0Zz7PgGX0-kHA/edit?usp=sharing"",""แผน!IL36"")"),0)</f>
        <v>0</v>
      </c>
      <c r="J723" s="863">
        <f ca="1">IFERROR(__xludf.DUMMYFUNCTION("IMPORTRANGE(""https://docs.google.com/spreadsheets/d/1XWAQStnk-4SwqDmLtmXYiTMKHgktTP8We1SCoS47DrQ/edit?usp=sharing"",""จัดที่ดิน!BM36"")"),0)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IFERROR(__xludf.DUMMYFUNCTION("IMPORTRANGE(""https://docs.google.com/spreadsheets/d/1XWAQStnk-4SwqDmLtmXYiTMKHgktTP8We1SCoS47DrQ/edit?usp=sharing"",""จัดที่ดิน!BN36"")"),0)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IFERROR(__xludf.DUMMYFUNCTION("IMPORTRANGE(""https://docs.google.com/spreadsheets/d/1QqKyyYR6Q21VydFLVH3TRQUabQu_ym0Zz7PgGX0-kHA/edit?usp=sharing"",""แผน!IM36"")"),0)</f>
        <v>0</v>
      </c>
      <c r="J725" s="863">
        <f ca="1">IFERROR(__xludf.DUMMYFUNCTION("IMPORTRANGE(""https://docs.google.com/spreadsheets/d/1XWAQStnk-4SwqDmLtmXYiTMKHgktTP8We1SCoS47DrQ/edit?usp=sharing"",""จัดที่ดิน!BO36"")"),0)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IFERROR(__xludf.DUMMYFUNCTION("IMPORTRANGE(""https://docs.google.com/spreadsheets/d/1QqKyyYR6Q21VydFLVH3TRQUabQu_ym0Zz7PgGX0-kHA/edit?usp=sharing"",""แผน!IN36"")"),0)</f>
        <v>0</v>
      </c>
      <c r="J726" s="863">
        <f ca="1">IFERROR(__xludf.DUMMYFUNCTION("IMPORTRANGE(""https://docs.google.com/spreadsheets/d/1XWAQStnk-4SwqDmLtmXYiTMKHgktTP8We1SCoS47DrQ/edit?usp=sharing"",""จัดที่ดิน!BR36"")"),0)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IFERROR(__xludf.DUMMYFUNCTION("IMPORTRANGE(""https://docs.google.com/spreadsheets/d/1XWAQStnk-4SwqDmLtmXYiTMKHgktTP8We1SCoS47DrQ/edit?usp=sharing"",""จัดที่ดิน!BS36"")"),0)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IFERROR(__xludf.DUMMYFUNCTION("IMPORTRANGE(""https://docs.google.com/spreadsheets/d/1QqKyyYR6Q21VydFLVH3TRQUabQu_ym0Zz7PgGX0-kHA/edit?usp=sharing"",""แผน!IO36"")"),0)</f>
        <v>0</v>
      </c>
      <c r="J728" s="863">
        <f ca="1">IFERROR(__xludf.DUMMYFUNCTION("IMPORTRANGE(""https://docs.google.com/spreadsheets/d/1XWAQStnk-4SwqDmLtmXYiTMKHgktTP8We1SCoS47DrQ/edit?usp=sharing"",""จัดที่ดิน!BT36"")"),0)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IFERROR(__xludf.DUMMYFUNCTION("IMPORTRANGE(""https://docs.google.com/spreadsheets/d/1QqKyyYR6Q21VydFLVH3TRQUabQu_ym0Zz7PgGX0-kHA/edit?usp=sharing"",""แผน!IP36"")"),0)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5000</v>
      </c>
      <c r="J785" s="800">
        <f t="shared" ca="1" si="318"/>
        <v>1760</v>
      </c>
      <c r="K785" s="801">
        <f ca="1">IF(I785&gt;0,J785*100/I785,0)</f>
        <v>35.200000000000003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335200</v>
      </c>
      <c r="M786" s="1000">
        <f t="shared" si="319"/>
        <v>0</v>
      </c>
      <c r="N786" s="1000">
        <f t="shared" si="319"/>
        <v>214276.57</v>
      </c>
      <c r="O786" s="1000">
        <f t="shared" ref="O786:O791" ca="1" si="320">IF(L786&gt;0,N786*100/L786,0)</f>
        <v>63.924991050119331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335200</v>
      </c>
      <c r="M788" s="870">
        <f t="shared" si="322"/>
        <v>0</v>
      </c>
      <c r="N788" s="870">
        <f t="shared" si="322"/>
        <v>214276.57</v>
      </c>
      <c r="O788" s="870">
        <f t="shared" ca="1" si="320"/>
        <v>63.924991050119331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335200</v>
      </c>
      <c r="M789" s="864">
        <f t="shared" si="323"/>
        <v>0</v>
      </c>
      <c r="N789" s="864">
        <f t="shared" si="323"/>
        <v>214276.57</v>
      </c>
      <c r="O789" s="864">
        <f t="shared" ca="1" si="320"/>
        <v>63.924991050119331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IFERROR(__xludf.DUMMYFUNCTION("IMPORTRANGE(""https://docs.google.com/spreadsheets/d/1QqKyyYR6Q21VydFLVH3TRQUabQu_ym0Zz7PgGX0-kHA/edit?usp=sharing"",""แผน!JJ36"")"),335200)</f>
        <v>335200</v>
      </c>
      <c r="M791" s="870">
        <v>0</v>
      </c>
      <c r="N791" s="870">
        <f>N792+N793+N794+N795</f>
        <v>214276.57</v>
      </c>
      <c r="O791" s="870">
        <f t="shared" ca="1" si="320"/>
        <v>63.924991050119331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51566.57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v>162710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IFERROR(__xludf.DUMMYFUNCTION("IMPORTRANGE(""https://docs.google.com/spreadsheets/d/1MaWodYyGHDf7siQLGxnXhG4mBNTNIuy296niS2xXulU/edit?usp=sharing"",""RTK!H36"")"),76)</f>
        <v>76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IFERROR(__xludf.DUMMYFUNCTION("IMPORTRANGE(""https://docs.google.com/spreadsheets/d/1MaWodYyGHDf7siQLGxnXhG4mBNTNIuy296niS2xXulU/edit?usp=sharing"",""RTK!G36"")"),5000)</f>
        <v>5000</v>
      </c>
      <c r="J801" s="815">
        <f ca="1">IFERROR(__xludf.DUMMYFUNCTION("IMPORTRANGE(""https://docs.google.com/spreadsheets/d/1MaWodYyGHDf7siQLGxnXhG4mBNTNIuy296niS2xXulU/edit?usp=sharing"",""RTK!I36"")"),1760)</f>
        <v>1760</v>
      </c>
      <c r="K801" s="816">
        <f ca="1">IF(I801&gt;0,J801*100/I801,0)</f>
        <v>35.200000000000003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IFERROR(__xludf.DUMMYFUNCTION("IMPORTRANGE(""https://docs.google.com/spreadsheets/d/1MaWodYyGHDf7siQLGxnXhG4mBNTNIuy296niS2xXulU/edit?usp=sharing"",""RTK!L36"")"),0)</f>
        <v>0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IFERROR(__xludf.DUMMYFUNCTION("IMPORTRANGE(""https://docs.google.com/spreadsheets/d/1MaWodYyGHDf7siQLGxnXhG4mBNTNIuy296niS2xXulU/edit?usp=sharing"",""RTK!K36"")"),0)</f>
        <v>0</v>
      </c>
      <c r="J803" s="815">
        <f ca="1">IFERROR(__xludf.DUMMYFUNCTION("IMPORTRANGE(""https://docs.google.com/spreadsheets/d/1MaWodYyGHDf7siQLGxnXhG4mBNTNIuy296niS2xXulU/edit?usp=sharing"",""RTK!M36"")"),0)</f>
        <v>0</v>
      </c>
      <c r="K803" s="816">
        <f t="shared" ref="K803:K804" ca="1" si="327">IF(I803&gt;0,J803*100/I803,0)</f>
        <v>0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IFERROR(__xludf.DUMMYFUNCTION("IMPORTRANGE(""https://docs.google.com/spreadsheets/d/19vJNZY_5yjcGF2XGBMNZRCAIB0Kwfpjp8YEOfu-bneM/edit?usp=sharing"",""งานกองทุน!D36"")"),15000000)</f>
        <v>15000000</v>
      </c>
      <c r="J821" s="863">
        <f ca="1">IFERROR(__xludf.DUMMYFUNCTION("IMPORTRANGE(""https://docs.google.com/spreadsheets/d/19vJNZY_5yjcGF2XGBMNZRCAIB0Kwfpjp8YEOfu-bneM/edit?usp=sharing"",""งานกองทุน!F36"")"),3252500)</f>
        <v>3252500</v>
      </c>
      <c r="K821" s="864">
        <f t="shared" ref="K821:K828" ca="1" si="336">IF(I821&gt;0,J821*100/I821,0)</f>
        <v>21.683333333333334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IFERROR(__xludf.DUMMYFUNCTION("IMPORTRANGE(""https://docs.google.com/spreadsheets/d/19vJNZY_5yjcGF2XGBMNZRCAIB0Kwfpjp8YEOfu-bneM/edit?usp=sharing"",""งานกองทุน!C36"")"),391)</f>
        <v>391</v>
      </c>
      <c r="J822" s="863">
        <f ca="1">IFERROR(__xludf.DUMMYFUNCTION("IMPORTRANGE(""https://docs.google.com/spreadsheets/d/19vJNZY_5yjcGF2XGBMNZRCAIB0Kwfpjp8YEOfu-bneM/edit?usp=sharing"",""งานกองทุน!E36"")"),85)</f>
        <v>85</v>
      </c>
      <c r="K822" s="864">
        <f t="shared" ca="1" si="336"/>
        <v>21.739130434782609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863">
        <f ca="1">IFERROR(__xludf.DUMMYFUNCTION("IMPORTRANGE(""https://docs.google.com/spreadsheets/d/19vJNZY_5yjcGF2XGBMNZRCAIB0Kwfpjp8YEOfu-bneM/edit?usp=sharing"",""งานกองทุน!K36"")"),356328.6)</f>
        <v>356328.6</v>
      </c>
      <c r="K823" s="864">
        <f t="shared" ca="1" si="336"/>
        <v>4.8602877629563705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IFERROR(__xludf.DUMMYFUNCTION("IMPORTRANGE(""https://docs.google.com/spreadsheets/d/19vJNZY_5yjcGF2XGBMNZRCAIB0Kwfpjp8YEOfu-bneM/edit?usp=sharing"",""งานกองทุน!H36"")"),232)</f>
        <v>232</v>
      </c>
      <c r="J824" s="863">
        <f ca="1">IFERROR(__xludf.DUMMYFUNCTION("IMPORTRANGE(""https://docs.google.com/spreadsheets/d/19vJNZY_5yjcGF2XGBMNZRCAIB0Kwfpjp8YEOfu-bneM/edit?usp=sharing"",""งานกองทุน!J36"")"),42)</f>
        <v>42</v>
      </c>
      <c r="K824" s="864">
        <f t="shared" ca="1" si="336"/>
        <v>18.103448275862068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IFERROR(__xludf.DUMMYFUNCTION("IMPORTRANGE(""https://docs.google.com/spreadsheets/d/19vJNZY_5yjcGF2XGBMNZRCAIB0Kwfpjp8YEOfu-bneM/edit?usp=sharing"",""งานกองทุน!N36"")"),51685.48)</f>
        <v>51685.48</v>
      </c>
      <c r="J825" s="863">
        <f ca="1">IFERROR(__xludf.DUMMYFUNCTION("IMPORTRANGE(""https://docs.google.com/spreadsheets/d/19vJNZY_5yjcGF2XGBMNZRCAIB0Kwfpjp8YEOfu-bneM/edit?usp=sharing"",""งานกองทุน!P36"")"),31652.96)</f>
        <v>31652.959999999999</v>
      </c>
      <c r="K825" s="864">
        <f t="shared" ca="1" si="336"/>
        <v>61.241493742536584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IFERROR(__xludf.DUMMYFUNCTION("IMPORTRANGE(""https://docs.google.com/spreadsheets/d/19vJNZY_5yjcGF2XGBMNZRCAIB0Kwfpjp8YEOfu-bneM/edit?usp=sharing"",""งานกองทุน!M36"")"),268)</f>
        <v>268</v>
      </c>
      <c r="J826" s="863">
        <f ca="1">IFERROR(__xludf.DUMMYFUNCTION("IMPORTRANGE(""https://docs.google.com/spreadsheets/d/19vJNZY_5yjcGF2XGBMNZRCAIB0Kwfpjp8YEOfu-bneM/edit?usp=sharing"",""งานกองทุน!O36"")"),164)</f>
        <v>164</v>
      </c>
      <c r="K826" s="864">
        <f t="shared" ca="1" si="336"/>
        <v>61.194029850746269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IFERROR(__xludf.DUMMYFUNCTION("IMPORTRANGE(""https://docs.google.com/spreadsheets/d/19vJNZY_5yjcGF2XGBMNZRCAIB0Kwfpjp8YEOfu-bneM/edit?usp=sharing"",""งานกองทุน!S36"")"),11300000)</f>
        <v>11300000</v>
      </c>
      <c r="J827" s="863">
        <f ca="1">IFERROR(__xludf.DUMMYFUNCTION("IMPORTRANGE(""https://docs.google.com/spreadsheets/d/19vJNZY_5yjcGF2XGBMNZRCAIB0Kwfpjp8YEOfu-bneM/edit?usp=sharing"",""งานกองทุน!U36"")"),2580000)</f>
        <v>2580000</v>
      </c>
      <c r="K827" s="864">
        <f t="shared" ca="1" si="336"/>
        <v>22.831858407079647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IFERROR(__xludf.DUMMYFUNCTION("IMPORTRANGE(""https://docs.google.com/spreadsheets/d/19vJNZY_5yjcGF2XGBMNZRCAIB0Kwfpjp8YEOfu-bneM/edit?usp=sharing"",""งานกองทุน!R36"")"),452)</f>
        <v>452</v>
      </c>
      <c r="J828" s="1117">
        <f ca="1">IFERROR(__xludf.DUMMYFUNCTION("IMPORTRANGE(""https://docs.google.com/spreadsheets/d/19vJNZY_5yjcGF2XGBMNZRCAIB0Kwfpjp8YEOfu-bneM/edit?usp=sharing"",""งานกองทุน!T36"")"),67)</f>
        <v>67</v>
      </c>
      <c r="K828" s="1215">
        <f t="shared" ca="1" si="336"/>
        <v>14.823008849557523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C9-BAC7-4F8A-B8DC-AC788E0E4706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6.85546875" style="836" bestFit="1" customWidth="1"/>
    <col min="10" max="10" width="14.4257812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341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8540907</v>
      </c>
      <c r="M8" s="850">
        <f t="shared" ca="1" si="0"/>
        <v>5216882</v>
      </c>
      <c r="N8" s="850">
        <f t="shared" ca="1" si="0"/>
        <v>2424802.09</v>
      </c>
      <c r="O8" s="850">
        <f t="shared" ref="O8:O16" ca="1" si="1">IF(L8&gt;0,N8*100/L8,0)</f>
        <v>28.390451857162244</v>
      </c>
      <c r="P8" s="850">
        <f t="shared" ref="P8:P16" ca="1" si="2">IF(M8&gt;0,N8*100/M8,0)</f>
        <v>46.479910605606953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8540907</v>
      </c>
      <c r="M10" s="857">
        <f t="shared" ca="1" si="3"/>
        <v>5216882</v>
      </c>
      <c r="N10" s="857">
        <f t="shared" ca="1" si="3"/>
        <v>2424802.09</v>
      </c>
      <c r="O10" s="857">
        <f t="shared" ca="1" si="1"/>
        <v>28.390451857162244</v>
      </c>
      <c r="P10" s="857">
        <f t="shared" ca="1" si="2"/>
        <v>46.479910605606953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6280707</v>
      </c>
      <c r="M11" s="864">
        <f t="shared" ca="1" si="4"/>
        <v>2956682</v>
      </c>
      <c r="N11" s="864">
        <f t="shared" ca="1" si="4"/>
        <v>2124602.09</v>
      </c>
      <c r="O11" s="864">
        <f t="shared" ca="1" si="1"/>
        <v>33.827435191611393</v>
      </c>
      <c r="P11" s="864">
        <f t="shared" ca="1" si="2"/>
        <v>71.857646172297194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6280707</v>
      </c>
      <c r="M13" s="870">
        <f t="shared" ca="1" si="5"/>
        <v>2956682</v>
      </c>
      <c r="N13" s="870">
        <f t="shared" ca="1" si="5"/>
        <v>2124602.09</v>
      </c>
      <c r="O13" s="870">
        <f t="shared" ca="1" si="1"/>
        <v>33.827435191611393</v>
      </c>
      <c r="P13" s="870">
        <f t="shared" ca="1" si="2"/>
        <v>71.857646172297194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2260200</v>
      </c>
      <c r="M14" s="864">
        <f t="shared" ca="1" si="6"/>
        <v>2260200</v>
      </c>
      <c r="N14" s="864">
        <f t="shared" ca="1" si="6"/>
        <v>300200</v>
      </c>
      <c r="O14" s="864">
        <f t="shared" ca="1" si="1"/>
        <v>13.282010441553846</v>
      </c>
      <c r="P14" s="864">
        <f t="shared" ca="1" si="2"/>
        <v>13.282010441553846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2260200</v>
      </c>
      <c r="M16" s="876">
        <f t="shared" ca="1" si="7"/>
        <v>2260200</v>
      </c>
      <c r="N16" s="876">
        <f t="shared" ca="1" si="7"/>
        <v>300200</v>
      </c>
      <c r="O16" s="876">
        <f t="shared" ca="1" si="1"/>
        <v>13.282010441553846</v>
      </c>
      <c r="P16" s="876">
        <f t="shared" ca="1" si="2"/>
        <v>13.282010441553846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5737552</v>
      </c>
      <c r="M18" s="850">
        <f t="shared" ca="1" si="8"/>
        <v>5216882</v>
      </c>
      <c r="N18" s="850">
        <f t="shared" ca="1" si="8"/>
        <v>1767717.0899999999</v>
      </c>
      <c r="O18" s="850">
        <f t="shared" ref="O18:O26" ca="1" si="9">IF(L18&gt;0,N18*100/L18,0)</f>
        <v>30.809604688550099</v>
      </c>
      <c r="P18" s="850">
        <f t="shared" ref="P18:P26" ca="1" si="10">IF(M18&gt;0,N18*100/M18,0)</f>
        <v>33.884551922010118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5737552</v>
      </c>
      <c r="M20" s="857">
        <f t="shared" ca="1" si="11"/>
        <v>5216882</v>
      </c>
      <c r="N20" s="857">
        <f t="shared" ca="1" si="11"/>
        <v>1767717.0899999999</v>
      </c>
      <c r="O20" s="857">
        <f t="shared" ca="1" si="9"/>
        <v>30.809604688550099</v>
      </c>
      <c r="P20" s="857">
        <f t="shared" ca="1" si="10"/>
        <v>33.884551922010118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3477352</v>
      </c>
      <c r="M21" s="864">
        <f t="shared" ca="1" si="12"/>
        <v>2956682</v>
      </c>
      <c r="N21" s="864">
        <f t="shared" ca="1" si="12"/>
        <v>1467517.0899999999</v>
      </c>
      <c r="O21" s="864">
        <f t="shared" ca="1" si="9"/>
        <v>42.202143757663876</v>
      </c>
      <c r="P21" s="864">
        <f t="shared" ca="1" si="10"/>
        <v>49.633917005616432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3477352</v>
      </c>
      <c r="M23" s="870">
        <f t="shared" ca="1" si="13"/>
        <v>2956682</v>
      </c>
      <c r="N23" s="870">
        <f t="shared" ca="1" si="13"/>
        <v>1467517.0899999999</v>
      </c>
      <c r="O23" s="870">
        <f t="shared" ca="1" si="9"/>
        <v>42.202143757663876</v>
      </c>
      <c r="P23" s="870">
        <f t="shared" ca="1" si="10"/>
        <v>49.633917005616432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2260200</v>
      </c>
      <c r="M24" s="864">
        <f t="shared" ca="1" si="14"/>
        <v>2260200</v>
      </c>
      <c r="N24" s="864">
        <f t="shared" ca="1" si="14"/>
        <v>300200</v>
      </c>
      <c r="O24" s="864">
        <f t="shared" ca="1" si="9"/>
        <v>13.282010441553846</v>
      </c>
      <c r="P24" s="864">
        <f t="shared" ca="1" si="10"/>
        <v>13.282010441553846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2260200</v>
      </c>
      <c r="M26" s="876">
        <f t="shared" ca="1" si="15"/>
        <v>2260200</v>
      </c>
      <c r="N26" s="876">
        <f t="shared" ca="1" si="15"/>
        <v>300200</v>
      </c>
      <c r="O26" s="876">
        <f t="shared" ca="1" si="9"/>
        <v>13.282010441553846</v>
      </c>
      <c r="P26" s="876">
        <f t="shared" ca="1" si="10"/>
        <v>13.282010441553846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2803355</v>
      </c>
      <c r="M28" s="850">
        <f t="shared" si="16"/>
        <v>0</v>
      </c>
      <c r="N28" s="850">
        <f t="shared" si="16"/>
        <v>657085</v>
      </c>
      <c r="O28" s="850">
        <f t="shared" ref="O28:O37" ca="1" si="17">IF(L28&gt;0,N28*100/L28,0)</f>
        <v>23.439236200909267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2803355</v>
      </c>
      <c r="M30" s="857">
        <f t="shared" si="19"/>
        <v>0</v>
      </c>
      <c r="N30" s="857">
        <f t="shared" si="19"/>
        <v>657085</v>
      </c>
      <c r="O30" s="857">
        <f t="shared" ca="1" si="17"/>
        <v>23.439236200909267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2803355</v>
      </c>
      <c r="M31" s="864">
        <f t="shared" si="20"/>
        <v>0</v>
      </c>
      <c r="N31" s="864">
        <f t="shared" si="20"/>
        <v>657085</v>
      </c>
      <c r="O31" s="864">
        <f t="shared" ca="1" si="17"/>
        <v>23.439236200909267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2803355</v>
      </c>
      <c r="M33" s="870">
        <f t="shared" si="21"/>
        <v>0</v>
      </c>
      <c r="N33" s="870">
        <f t="shared" si="21"/>
        <v>657085</v>
      </c>
      <c r="O33" s="870">
        <f t="shared" ca="1" si="17"/>
        <v>23.439236200909267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5737552</v>
      </c>
      <c r="M37" s="883">
        <f t="shared" ca="1" si="24"/>
        <v>5216882</v>
      </c>
      <c r="N37" s="883">
        <f t="shared" ca="1" si="24"/>
        <v>1767717.0899999999</v>
      </c>
      <c r="O37" s="883">
        <f t="shared" ca="1" si="17"/>
        <v>30.809604688550099</v>
      </c>
      <c r="P37" s="883">
        <f t="shared" ca="1" si="18"/>
        <v>33.884551922010118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698242</v>
      </c>
      <c r="M41" s="908">
        <f t="shared" ca="1" si="25"/>
        <v>702538</v>
      </c>
      <c r="N41" s="908">
        <f t="shared" ca="1" si="25"/>
        <v>310579</v>
      </c>
      <c r="O41" s="908">
        <f t="shared" ref="O41:O49" ca="1" si="26">IF(L41&gt;0,N41*100/L41,0)</f>
        <v>44.480137259001893</v>
      </c>
      <c r="P41" s="908">
        <f t="shared" ref="P41:P49" ca="1" si="27">IF(M41&gt;0,N41*100/M41,0)</f>
        <v>44.208142477702275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698242</v>
      </c>
      <c r="M43" s="914">
        <f t="shared" ca="1" si="28"/>
        <v>702538</v>
      </c>
      <c r="N43" s="914">
        <f t="shared" ca="1" si="28"/>
        <v>310579</v>
      </c>
      <c r="O43" s="914">
        <f t="shared" ca="1" si="26"/>
        <v>44.480137259001893</v>
      </c>
      <c r="P43" s="914">
        <f t="shared" ca="1" si="27"/>
        <v>44.208142477702275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698242</v>
      </c>
      <c r="M44" s="864">
        <f t="shared" ca="1" si="29"/>
        <v>702538</v>
      </c>
      <c r="N44" s="864">
        <f t="shared" ca="1" si="29"/>
        <v>310579</v>
      </c>
      <c r="O44" s="864">
        <f t="shared" ca="1" si="26"/>
        <v>44.480137259001893</v>
      </c>
      <c r="P44" s="864">
        <f t="shared" ca="1" si="27"/>
        <v>44.208142477702275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IFERROR(__xludf.DUMMYFUNCTION("IMPORTRANGE(""https://docs.google.com/spreadsheets/d/1MeEWN-I1oV_STSDYn1IFDPWt_1FKiwhDph83XaGc0o0/edit?usp=sharing"",""งบพรบ!M37"")"),698242)</f>
        <v>698242</v>
      </c>
      <c r="M46" s="870">
        <f ca="1">IFERROR(__xludf.DUMMYFUNCTION("IMPORTRANGE(""https://docs.google.com/spreadsheets/d/1MeEWN-I1oV_STSDYn1IFDPWt_1FKiwhDph83XaGc0o0/edit?usp=sharing"",""งบพรบ!R37"")"),702538)</f>
        <v>702538</v>
      </c>
      <c r="N46" s="870">
        <f ca="1">IFERROR(__xludf.DUMMYFUNCTION("IMPORTRANGE(""https://docs.google.com/spreadsheets/d/1MeEWN-I1oV_STSDYn1IFDPWt_1FKiwhDph83XaGc0o0/edit?usp=sharing"",""งบพรบ!T37"")"),310579)</f>
        <v>310579</v>
      </c>
      <c r="O46" s="870">
        <f t="shared" ca="1" si="26"/>
        <v>44.480137259001893</v>
      </c>
      <c r="P46" s="870">
        <f t="shared" ca="1" si="27"/>
        <v>44.208142477702275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IFERROR(__xludf.DUMMYFUNCTION("IMPORTRANGE(""https://docs.google.com/spreadsheets/d/1MeEWN-I1oV_STSDYn1IFDPWt_1FKiwhDph83XaGc0o0/edit?usp=sharing"",""งบพรบ!P37"")"),0)</f>
        <v>0</v>
      </c>
      <c r="M49" s="876">
        <f ca="1">IFERROR(__xludf.DUMMYFUNCTION("IMPORTRANGE(""https://docs.google.com/spreadsheets/d/1MeEWN-I1oV_STSDYn1IFDPWt_1FKiwhDph83XaGc0o0/edit?usp=sharing"",""งบพรบ!S37"")"),0)</f>
        <v>0</v>
      </c>
      <c r="N49" s="876">
        <f ca="1">IFERROR(__xludf.DUMMYFUNCTION("IMPORTRANGE(""https://docs.google.com/spreadsheets/d/1MeEWN-I1oV_STSDYn1IFDPWt_1FKiwhDph83XaGc0o0/edit?usp=sharing"",""งบพรบ!U37"")"),0)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2736800</v>
      </c>
      <c r="M53" s="936">
        <f t="shared" ca="1" si="31"/>
        <v>2585550</v>
      </c>
      <c r="N53" s="936">
        <f t="shared" ca="1" si="31"/>
        <v>402801.08999999997</v>
      </c>
      <c r="O53" s="936">
        <f t="shared" ref="O53:O61" ca="1" si="32">IF(L53&gt;0,N53*100/L53,0)</f>
        <v>14.71795856474715</v>
      </c>
      <c r="P53" s="936">
        <f t="shared" ref="P53:P61" ca="1" si="33">IF(M53&gt;0,N53*100/M53,0)</f>
        <v>15.578932528862332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2736800</v>
      </c>
      <c r="M55" s="942">
        <f t="shared" ca="1" si="34"/>
        <v>2585550</v>
      </c>
      <c r="N55" s="942">
        <f t="shared" ca="1" si="34"/>
        <v>402801.08999999997</v>
      </c>
      <c r="O55" s="942">
        <f t="shared" ca="1" si="32"/>
        <v>14.71795856474715</v>
      </c>
      <c r="P55" s="942">
        <f t="shared" ca="1" si="33"/>
        <v>15.578932528862332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612200</v>
      </c>
      <c r="M56" s="864">
        <f t="shared" ca="1" si="35"/>
        <v>460950</v>
      </c>
      <c r="N56" s="864">
        <f t="shared" ca="1" si="35"/>
        <v>238201.09</v>
      </c>
      <c r="O56" s="864">
        <f t="shared" ca="1" si="32"/>
        <v>38.909031362299899</v>
      </c>
      <c r="P56" s="864">
        <f t="shared" ca="1" si="33"/>
        <v>51.676123223776983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IFERROR(__xludf.DUMMYFUNCTION("IMPORTRANGE(""https://docs.google.com/spreadsheets/d/1MeEWN-I1oV_STSDYn1IFDPWt_1FKiwhDph83XaGc0o0/edit?usp=sharing"",""งบพรบ!W37"")"),612200)</f>
        <v>612200</v>
      </c>
      <c r="M58" s="870">
        <f ca="1">IFERROR(__xludf.DUMMYFUNCTION("IMPORTRANGE(""https://docs.google.com/spreadsheets/d/1MeEWN-I1oV_STSDYn1IFDPWt_1FKiwhDph83XaGc0o0/edit?usp=sharing"",""งบพรบ!AB37"")"),460950)</f>
        <v>460950</v>
      </c>
      <c r="N58" s="870">
        <f ca="1">IFERROR(__xludf.DUMMYFUNCTION("IMPORTRANGE(""https://docs.google.com/spreadsheets/d/1MeEWN-I1oV_STSDYn1IFDPWt_1FKiwhDph83XaGc0o0/edit?usp=sharing"",""งบพรบ!AD37"")"),238201.09)</f>
        <v>238201.09</v>
      </c>
      <c r="O58" s="870">
        <f t="shared" ca="1" si="32"/>
        <v>38.909031362299899</v>
      </c>
      <c r="P58" s="870">
        <f t="shared" ca="1" si="33"/>
        <v>51.676123223776983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2124600</v>
      </c>
      <c r="M59" s="864">
        <f t="shared" ca="1" si="36"/>
        <v>2124600</v>
      </c>
      <c r="N59" s="864">
        <f t="shared" ca="1" si="36"/>
        <v>164600</v>
      </c>
      <c r="O59" s="864">
        <f t="shared" ca="1" si="32"/>
        <v>7.747340675891933</v>
      </c>
      <c r="P59" s="864">
        <f t="shared" ca="1" si="33"/>
        <v>7.747340675891933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IFERROR(__xludf.DUMMYFUNCTION("IMPORTRANGE(""https://docs.google.com/spreadsheets/d/1MeEWN-I1oV_STSDYn1IFDPWt_1FKiwhDph83XaGc0o0/edit?usp=sharing"",""งบพรบ!Z37"")"),2124600)</f>
        <v>2124600</v>
      </c>
      <c r="M61" s="876">
        <f ca="1">IFERROR(__xludf.DUMMYFUNCTION("IMPORTRANGE(""https://docs.google.com/spreadsheets/d/1MeEWN-I1oV_STSDYn1IFDPWt_1FKiwhDph83XaGc0o0/edit?usp=sharing"",""งบพรบ!AC37"")"),2124600)</f>
        <v>2124600</v>
      </c>
      <c r="N61" s="876">
        <f ca="1">IFERROR(__xludf.DUMMYFUNCTION("IMPORTRANGE(""https://docs.google.com/spreadsheets/d/1MeEWN-I1oV_STSDYn1IFDPWt_1FKiwhDph83XaGc0o0/edit?usp=sharing"",""งบพรบ!AE37"")"),164600)</f>
        <v>164600</v>
      </c>
      <c r="O61" s="876">
        <f t="shared" ca="1" si="32"/>
        <v>7.747340675891933</v>
      </c>
      <c r="P61" s="876">
        <f t="shared" ca="1" si="33"/>
        <v>7.747340675891933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IFERROR(__xludf.DUMMYFUNCTION("IMPORTRANGE(""https://docs.google.com/spreadsheets/d/1MeEWN-I1oV_STSDYn1IFDPWt_1FKiwhDph83XaGc0o0/edit?usp=sharing"",""งบพรบ!AG37"")"),0)</f>
        <v>0</v>
      </c>
      <c r="M71" s="870">
        <f ca="1">IFERROR(__xludf.DUMMYFUNCTION("IMPORTRANGE(""https://docs.google.com/spreadsheets/d/1MeEWN-I1oV_STSDYn1IFDPWt_1FKiwhDph83XaGc0o0/edit?usp=sharing"",""งบพรบ!AL37"")"),0)</f>
        <v>0</v>
      </c>
      <c r="N71" s="870">
        <f ca="1">IFERROR(__xludf.DUMMYFUNCTION("IMPORTRANGE(""https://docs.google.com/spreadsheets/d/1MeEWN-I1oV_STSDYn1IFDPWt_1FKiwhDph83XaGc0o0/edit?usp=sharing"",""งบพรบ!AN37"")"),0)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IFERROR(__xludf.DUMMYFUNCTION("IMPORTRANGE(""https://docs.google.com/spreadsheets/d/1MeEWN-I1oV_STSDYn1IFDPWt_1FKiwhDph83XaGc0o0/edit?usp=sharing"",""งบพรบ!AJ37"")"),0)</f>
        <v>0</v>
      </c>
      <c r="M74" s="870">
        <f ca="1">IFERROR(__xludf.DUMMYFUNCTION("IMPORTRANGE(""https://docs.google.com/spreadsheets/d/1MeEWN-I1oV_STSDYn1IFDPWt_1FKiwhDph83XaGc0o0/edit?usp=sharing"",""งบพรบ!AM37"")"),0)</f>
        <v>0</v>
      </c>
      <c r="N74" s="870">
        <f ca="1">IFERROR(__xludf.DUMMYFUNCTION("IMPORTRANGE(""https://docs.google.com/spreadsheets/d/1MeEWN-I1oV_STSDYn1IFDPWt_1FKiwhDph83XaGc0o0/edit?usp=sharing"",""งบพรบ!AO37"")"),0)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IFERROR(__xludf.DUMMYFUNCTION("IMPORTRANGE(""https://docs.google.com/spreadsheets/d/1QqKyyYR6Q21VydFLVH3TRQUabQu_ym0Zz7PgGX0-kHA/edit?usp=sharing"",""แผน!H37"")"),0)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IFERROR(__xludf.DUMMYFUNCTION("IMPORTRANGE(""https://docs.google.com/spreadsheets/d/1QqKyyYR6Q21VydFLVH3TRQUabQu_ym0Zz7PgGX0-kHA/edit?usp=sharing"",""แผน!I37"")"),0)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IFERROR(__xludf.DUMMYFUNCTION("IMPORTRANGE(""https://docs.google.com/spreadsheets/d/1QqKyyYR6Q21VydFLVH3TRQUabQu_ym0Zz7PgGX0-kHA/edit?usp=sharing"",""แผน!F37"")"),0)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IFERROR(__xludf.DUMMYFUNCTION("IMPORTRANGE(""https://docs.google.com/spreadsheets/d/1QqKyyYR6Q21VydFLVH3TRQUabQu_ym0Zz7PgGX0-kHA/edit?usp=sharing"",""แผน!G37"")"),0)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IFERROR(__xludf.DUMMYFUNCTION("IMPORTRANGE(""https://docs.google.com/spreadsheets/d/1QqKyyYR6Q21VydFLVH3TRQUabQu_ym0Zz7PgGX0-kHA/edit?usp=sharing"",""แผน!D37"")"),0)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IFERROR(__xludf.DUMMYFUNCTION("IMPORTRANGE(""https://docs.google.com/spreadsheets/d/1QqKyyYR6Q21VydFLVH3TRQUabQu_ym0Zz7PgGX0-kHA/edit?usp=sharing"",""แผน!E37"")"),0)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IFERROR(__xludf.DUMMYFUNCTION("IMPORTRANGE(""https://docs.google.com/spreadsheets/d/1QqKyyYR6Q21VydFLVH3TRQUabQu_ym0Zz7PgGX0-kHA/edit?usp=sharing"",""แผน!J37"")"),0)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115640</v>
      </c>
      <c r="M88" s="972">
        <f t="shared" ca="1" si="49"/>
        <v>107090</v>
      </c>
      <c r="N88" s="972">
        <f t="shared" ca="1" si="49"/>
        <v>0</v>
      </c>
      <c r="O88" s="972">
        <f t="shared" ref="O88:O96" ca="1" si="50">IF(L88&gt;0,N88*100/L88,0)</f>
        <v>0</v>
      </c>
      <c r="P88" s="972">
        <f t="shared" ref="P88:P96" ca="1" si="51">IF(M88&gt;0,N88*100/M88,0)</f>
        <v>0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115640</v>
      </c>
      <c r="M90" s="870">
        <f t="shared" ca="1" si="52"/>
        <v>107090</v>
      </c>
      <c r="N90" s="870">
        <f t="shared" ca="1" si="52"/>
        <v>0</v>
      </c>
      <c r="O90" s="870">
        <f t="shared" ca="1" si="50"/>
        <v>0</v>
      </c>
      <c r="P90" s="870">
        <f t="shared" ca="1" si="51"/>
        <v>0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115640</v>
      </c>
      <c r="M91" s="864">
        <f t="shared" ca="1" si="53"/>
        <v>107090</v>
      </c>
      <c r="N91" s="864">
        <f t="shared" ca="1" si="53"/>
        <v>0</v>
      </c>
      <c r="O91" s="864">
        <f t="shared" ca="1" si="50"/>
        <v>0</v>
      </c>
      <c r="P91" s="864">
        <f t="shared" ca="1" si="51"/>
        <v>0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IFERROR(__xludf.DUMMYFUNCTION("IMPORTRANGE(""https://docs.google.com/spreadsheets/d/1MeEWN-I1oV_STSDYn1IFDPWt_1FKiwhDph83XaGc0o0/edit?usp=sharing"",""งบพรบ!AQ37"")"),115640)</f>
        <v>115640</v>
      </c>
      <c r="M93" s="870">
        <f ca="1">IFERROR(__xludf.DUMMYFUNCTION("IMPORTRANGE(""https://docs.google.com/spreadsheets/d/1MeEWN-I1oV_STSDYn1IFDPWt_1FKiwhDph83XaGc0o0/edit?usp=sharing"",""งบพรบ!AV37"")"),107090)</f>
        <v>107090</v>
      </c>
      <c r="N93" s="870">
        <f ca="1">IFERROR(__xludf.DUMMYFUNCTION("IMPORTRANGE(""https://docs.google.com/spreadsheets/d/1MeEWN-I1oV_STSDYn1IFDPWt_1FKiwhDph83XaGc0o0/edit?usp=sharing"",""งบพรบ!AX37"")"),0)</f>
        <v>0</v>
      </c>
      <c r="O93" s="870">
        <f t="shared" ca="1" si="50"/>
        <v>0</v>
      </c>
      <c r="P93" s="870">
        <f t="shared" ca="1" si="51"/>
        <v>0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IFERROR(__xludf.DUMMYFUNCTION("IMPORTRANGE(""https://docs.google.com/spreadsheets/d/1MeEWN-I1oV_STSDYn1IFDPWt_1FKiwhDph83XaGc0o0/edit?usp=sharing"",""งบพรบ!AT37"")"),0)</f>
        <v>0</v>
      </c>
      <c r="M96" s="870">
        <f ca="1">IFERROR(__xludf.DUMMYFUNCTION("IMPORTRANGE(""https://docs.google.com/spreadsheets/d/1MeEWN-I1oV_STSDYn1IFDPWt_1FKiwhDph83XaGc0o0/edit?usp=sharing"",""งบพรบ!AW37"")"),0)</f>
        <v>0</v>
      </c>
      <c r="N96" s="870">
        <f ca="1">IFERROR(__xludf.DUMMYFUNCTION("IMPORTRANGE(""https://docs.google.com/spreadsheets/d/1MeEWN-I1oV_STSDYn1IFDPWt_1FKiwhDph83XaGc0o0/edit?usp=sharing"",""งบพรบ!AY37"")"),0)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IFERROR(__xludf.DUMMYFUNCTION("IMPORTRANGE(""https://docs.google.com/spreadsheets/d/1QqKyyYR6Q21VydFLVH3TRQUabQu_ym0Zz7PgGX0-kHA/edit?usp=sharing"",""แผน!K37"")"),30)</f>
        <v>30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IFERROR(__xludf.DUMMYFUNCTION("IMPORTRANGE(""https://docs.google.com/spreadsheets/d/1QqKyyYR6Q21VydFLVH3TRQUabQu_ym0Zz7PgGX0-kHA/edit?usp=sharing"",""แผน!L37"")"),10)</f>
        <v>10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IFERROR(__xludf.DUMMYFUNCTION("IMPORTRANGE(""https://docs.google.com/spreadsheets/d/1QqKyyYR6Q21VydFLVH3TRQUabQu_ym0Zz7PgGX0-kHA/edit?usp=sharing"",""แผน!M37"")"),3)</f>
        <v>3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IFERROR(__xludf.DUMMYFUNCTION("IMPORTRANGE(""https://docs.google.com/spreadsheets/d/1QqKyyYR6Q21VydFLVH3TRQUabQu_ym0Zz7PgGX0-kHA/edit?usp=sharing"",""แผน!N37"")"),30)</f>
        <v>30</v>
      </c>
      <c r="J102" s="992">
        <v>0</v>
      </c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IFERROR(__xludf.DUMMYFUNCTION("IMPORTRANGE(""https://docs.google.com/spreadsheets/d/1QqKyyYR6Q21VydFLVH3TRQUabQu_ym0Zz7PgGX0-kHA/edit?usp=sharing"",""แผน!O37"")"),10)</f>
        <v>10</v>
      </c>
      <c r="J103" s="992">
        <v>0</v>
      </c>
      <c r="K103" s="864">
        <f t="shared" ca="1" si="56"/>
        <v>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IFERROR(__xludf.DUMMYFUNCTION("IMPORTRANGE(""https://docs.google.com/spreadsheets/d/1QqKyyYR6Q21VydFLVH3TRQUabQu_ym0Zz7PgGX0-kHA/edit?usp=sharing"",""แผน!O37"")"),10)</f>
        <v>10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IFERROR(__xludf.DUMMYFUNCTION("IMPORTRANGE(""https://docs.google.com/spreadsheets/d/1QqKyyYR6Q21VydFLVH3TRQUabQu_ym0Zz7PgGX0-kHA/edit?usp=sharing"",""แผน!P37"")"),2)</f>
        <v>2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IFERROR(__xludf.DUMMYFUNCTION("IMPORTRANGE(""https://docs.google.com/spreadsheets/d/1QqKyyYR6Q21VydFLVH3TRQUabQu_ym0Zz7PgGX0-kHA/edit?usp=sharing"",""แผน!P37"")"),2)</f>
        <v>2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IFERROR(__xludf.DUMMYFUNCTION("IMPORTRANGE(""https://docs.google.com/spreadsheets/d/1QqKyyYR6Q21VydFLVH3TRQUabQu_ym0Zz7PgGX0-kHA/edit?usp=sharing"",""แผน!Q37"")"),1)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IFERROR(__xludf.DUMMYFUNCTION("IMPORTRANGE(""https://docs.google.com/spreadsheets/d/1QqKyyYR6Q21VydFLVH3TRQUabQu_ym0Zz7PgGX0-kHA/edit?usp=sharing"",""แผน!Q37"")"),1)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IFERROR(__xludf.DUMMYFUNCTION("IMPORTRANGE(""https://docs.google.com/spreadsheets/d/1QqKyyYR6Q21VydFLVH3TRQUabQu_ym0Zz7PgGX0-kHA/edit?usp=sharing"",""แผน!R37"")"),10)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3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IFERROR(__xludf.DUMMYFUNCTION("IMPORTRANGE(""https://docs.google.com/spreadsheets/d/1QqKyyYR6Q21VydFLVH3TRQUabQu_ym0Zz7PgGX0-kHA/edit?usp=sharing"",""แผน!R37"")"),10)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IFERROR(__xludf.DUMMYFUNCTION("IMPORTRANGE(""https://docs.google.com/spreadsheets/d/1QqKyyYR6Q21VydFLVH3TRQUabQu_ym0Zz7PgGX0-kHA/edit?usp=sharing"",""แผน!R37"")"),10)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IFERROR(__xludf.DUMMYFUNCTION("IMPORTRANGE(""https://docs.google.com/spreadsheets/d/1QqKyyYR6Q21VydFLVH3TRQUabQu_ym0Zz7PgGX0-kHA/edit?usp=sharing"",""แผน!S37"")"),2)</f>
        <v>2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IFERROR(__xludf.DUMMYFUNCTION("IMPORTRANGE(""https://docs.google.com/spreadsheets/d/1QqKyyYR6Q21VydFLVH3TRQUabQu_ym0Zz7PgGX0-kHA/edit?usp=sharing"",""แผน!T37"")"),1)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IFERROR(__xludf.DUMMYFUNCTION("IMPORTRANGE(""https://docs.google.com/spreadsheets/d/1MeEWN-I1oV_STSDYn1IFDPWt_1FKiwhDph83XaGc0o0/edit?usp=sharing"",""งบพรบ!BA37"")"),0)</f>
        <v>0</v>
      </c>
      <c r="M124" s="870">
        <f ca="1">IFERROR(__xludf.DUMMYFUNCTION("IMPORTRANGE(""https://docs.google.com/spreadsheets/d/1MeEWN-I1oV_STSDYn1IFDPWt_1FKiwhDph83XaGc0o0/edit?usp=sharing"",""งบพรบ!BF37"")"),0)</f>
        <v>0</v>
      </c>
      <c r="N124" s="870">
        <f ca="1">IFERROR(__xludf.DUMMYFUNCTION("IMPORTRANGE(""https://docs.google.com/spreadsheets/d/1MeEWN-I1oV_STSDYn1IFDPWt_1FKiwhDph83XaGc0o0/edit?usp=sharing"",""งบพรบ!BH37"")"),0)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IFERROR(__xludf.DUMMYFUNCTION("IMPORTRANGE(""https://docs.google.com/spreadsheets/d/1MeEWN-I1oV_STSDYn1IFDPWt_1FKiwhDph83XaGc0o0/edit?usp=sharing"",""งบพรบ!BD37"")"),0)</f>
        <v>0</v>
      </c>
      <c r="M127" s="870">
        <f ca="1">IFERROR(__xludf.DUMMYFUNCTION("IMPORTRANGE(""https://docs.google.com/spreadsheets/d/1MeEWN-I1oV_STSDYn1IFDPWt_1FKiwhDph83XaGc0o0/edit?usp=sharing"",""งบพรบ!BG37"")"),0)</f>
        <v>0</v>
      </c>
      <c r="N127" s="870">
        <f ca="1">IFERROR(__xludf.DUMMYFUNCTION("IMPORTRANGE(""https://docs.google.com/spreadsheets/d/1MeEWN-I1oV_STSDYn1IFDPWt_1FKiwhDph83XaGc0o0/edit?usp=sharing"",""งบพรบ!BI37"")"),0)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IFERROR(__xludf.DUMMYFUNCTION("IMPORTRANGE(""https://docs.google.com/spreadsheets/d/1MeEWN-I1oV_STSDYn1IFDPWt_1FKiwhDph83XaGc0o0/edit?usp=sharing"",""งบพรบ!BK37"")"),0)</f>
        <v>0</v>
      </c>
      <c r="M137" s="870">
        <f ca="1">IFERROR(__xludf.DUMMYFUNCTION("IMPORTRANGE(""https://docs.google.com/spreadsheets/d/1MeEWN-I1oV_STSDYn1IFDPWt_1FKiwhDph83XaGc0o0/edit?usp=sharing"",""งบพรบ!BP37"")"),0)</f>
        <v>0</v>
      </c>
      <c r="N137" s="870">
        <f ca="1">IFERROR(__xludf.DUMMYFUNCTION("IMPORTRANGE(""https://docs.google.com/spreadsheets/d/1MeEWN-I1oV_STSDYn1IFDPWt_1FKiwhDph83XaGc0o0/edit?usp=sharing"",""งบพรบ!BR37"")"),0)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IFERROR(__xludf.DUMMYFUNCTION("IMPORTRANGE(""https://docs.google.com/spreadsheets/d/1MeEWN-I1oV_STSDYn1IFDPWt_1FKiwhDph83XaGc0o0/edit?usp=sharing"",""งบพรบ!BN37"")"),0)</f>
        <v>0</v>
      </c>
      <c r="M140" s="870">
        <f ca="1">IFERROR(__xludf.DUMMYFUNCTION("IMPORTRANGE(""https://docs.google.com/spreadsheets/d/1MeEWN-I1oV_STSDYn1IFDPWt_1FKiwhDph83XaGc0o0/edit?usp=sharing"",""งบพรบ!BQ37"")"),0)</f>
        <v>0</v>
      </c>
      <c r="N140" s="870">
        <f ca="1">IFERROR(__xludf.DUMMYFUNCTION("IMPORTRANGE(""https://docs.google.com/spreadsheets/d/1MeEWN-I1oV_STSDYn1IFDPWt_1FKiwhDph83XaGc0o0/edit?usp=sharing"",""งบพรบ!BS37"")"),0)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IFERROR(__xludf.DUMMYFUNCTION("IMPORTRANGE(""https://docs.google.com/spreadsheets/d/1QqKyyYR6Q21VydFLVH3TRQUabQu_ym0Zz7PgGX0-kHA/edit?usp=sharing"",""แผน!U37"")"),0)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IFERROR(__xludf.DUMMYFUNCTION("IMPORTRANGE(""https://docs.google.com/spreadsheets/d/1QqKyyYR6Q21VydFLVH3TRQUabQu_ym0Zz7PgGX0-kHA/edit?usp=sharing"",""แผน!V37"")"),0)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IFERROR(__xludf.DUMMYFUNCTION("IMPORTRANGE(""https://docs.google.com/spreadsheets/d/1QqKyyYR6Q21VydFLVH3TRQUabQu_ym0Zz7PgGX0-kHA/edit?usp=sharing"",""แผน!W37"")"),0)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1</v>
      </c>
      <c r="K148" s="963">
        <f ca="1">IF(I148&gt;0,J148*100/I148,0)</f>
        <v>5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10000</v>
      </c>
      <c r="N149" s="972">
        <f t="shared" ca="1" si="77"/>
        <v>6495</v>
      </c>
      <c r="O149" s="972">
        <f t="shared" ref="O149:O157" ca="1" si="78">IF(L149&gt;0,N149*100/L149,0)</f>
        <v>64.95</v>
      </c>
      <c r="P149" s="972">
        <f t="shared" ref="P149:P157" ca="1" si="79">IF(M149&gt;0,N149*100/M149,0)</f>
        <v>64.95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10000</v>
      </c>
      <c r="N151" s="870">
        <f t="shared" ca="1" si="80"/>
        <v>6495</v>
      </c>
      <c r="O151" s="870">
        <f t="shared" ca="1" si="78"/>
        <v>64.95</v>
      </c>
      <c r="P151" s="870">
        <f t="shared" ca="1" si="79"/>
        <v>64.95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10000</v>
      </c>
      <c r="N152" s="864">
        <f t="shared" ca="1" si="81"/>
        <v>6495</v>
      </c>
      <c r="O152" s="864">
        <f t="shared" ca="1" si="78"/>
        <v>64.95</v>
      </c>
      <c r="P152" s="864">
        <f t="shared" ca="1" si="79"/>
        <v>64.95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IFERROR(__xludf.DUMMYFUNCTION("IMPORTRANGE(""https://docs.google.com/spreadsheets/d/1MeEWN-I1oV_STSDYn1IFDPWt_1FKiwhDph83XaGc0o0/edit?usp=sharing"",""งบพรบ!BU37"")"),10000)</f>
        <v>10000</v>
      </c>
      <c r="M154" s="870">
        <f ca="1">IFERROR(__xludf.DUMMYFUNCTION("IMPORTRANGE(""https://docs.google.com/spreadsheets/d/1MeEWN-I1oV_STSDYn1IFDPWt_1FKiwhDph83XaGc0o0/edit?usp=sharing"",""งบพรบ!BZ37"")"),10000)</f>
        <v>10000</v>
      </c>
      <c r="N154" s="870">
        <f ca="1">IFERROR(__xludf.DUMMYFUNCTION("IMPORTRANGE(""https://docs.google.com/spreadsheets/d/1MeEWN-I1oV_STSDYn1IFDPWt_1FKiwhDph83XaGc0o0/edit?usp=sharing"",""งบพรบ!CB37"")"),6495)</f>
        <v>6495</v>
      </c>
      <c r="O154" s="870">
        <f t="shared" ca="1" si="78"/>
        <v>64.95</v>
      </c>
      <c r="P154" s="870">
        <f t="shared" ca="1" si="79"/>
        <v>64.95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IFERROR(__xludf.DUMMYFUNCTION("IMPORTRANGE(""https://docs.google.com/spreadsheets/d/1MeEWN-I1oV_STSDYn1IFDPWt_1FKiwhDph83XaGc0o0/edit?usp=sharing"",""งบพรบ!BX37"")"),0)</f>
        <v>0</v>
      </c>
      <c r="M157" s="870">
        <f ca="1">IFERROR(__xludf.DUMMYFUNCTION("IMPORTRANGE(""https://docs.google.com/spreadsheets/d/1MeEWN-I1oV_STSDYn1IFDPWt_1FKiwhDph83XaGc0o0/edit?usp=sharing"",""งบพรบ!CA37"")"),0)</f>
        <v>0</v>
      </c>
      <c r="N157" s="870">
        <f ca="1">IFERROR(__xludf.DUMMYFUNCTION("IMPORTRANGE(""https://docs.google.com/spreadsheets/d/1MeEWN-I1oV_STSDYn1IFDPWt_1FKiwhDph83XaGc0o0/edit?usp=sharing"",""งบพรบ!CC37"")"),0)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IFERROR(__xludf.DUMMYFUNCTION("IMPORTRANGE(""https://docs.google.com/spreadsheets/d/1QqKyyYR6Q21VydFLVH3TRQUabQu_ym0Zz7PgGX0-kHA/edit?usp=sharing"",""แผน!X37"")"),20)</f>
        <v>20</v>
      </c>
      <c r="J159" s="992">
        <v>1</v>
      </c>
      <c r="K159" s="864">
        <f ca="1">IF(I159&gt;0,J159*100/I159,0)</f>
        <v>5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39810</v>
      </c>
      <c r="N165" s="972">
        <f t="shared" ca="1" si="84"/>
        <v>39810</v>
      </c>
      <c r="O165" s="972">
        <f t="shared" ref="O165:O173" ca="1" si="85">IF(L165&gt;0,N165*100/L165,0)</f>
        <v>172.63660017346055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39810</v>
      </c>
      <c r="N167" s="870">
        <f t="shared" ca="1" si="87"/>
        <v>39810</v>
      </c>
      <c r="O167" s="870">
        <f t="shared" ca="1" si="85"/>
        <v>172.63660017346055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39810</v>
      </c>
      <c r="N168" s="864">
        <f t="shared" ca="1" si="88"/>
        <v>39810</v>
      </c>
      <c r="O168" s="864">
        <f t="shared" ca="1" si="85"/>
        <v>172.63660017346055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IFERROR(__xludf.DUMMYFUNCTION("IMPORTRANGE(""https://docs.google.com/spreadsheets/d/1MeEWN-I1oV_STSDYn1IFDPWt_1FKiwhDph83XaGc0o0/edit?usp=sharing"",""งบพรบ!CE37"")"),23060)</f>
        <v>23060</v>
      </c>
      <c r="M170" s="870">
        <f ca="1">IFERROR(__xludf.DUMMYFUNCTION("IMPORTRANGE(""https://docs.google.com/spreadsheets/d/1MeEWN-I1oV_STSDYn1IFDPWt_1FKiwhDph83XaGc0o0/edit?usp=sharing"",""งบพรบ!CJ37"")"),39810)</f>
        <v>39810</v>
      </c>
      <c r="N170" s="870">
        <f ca="1">IFERROR(__xludf.DUMMYFUNCTION("IMPORTRANGE(""https://docs.google.com/spreadsheets/d/1MeEWN-I1oV_STSDYn1IFDPWt_1FKiwhDph83XaGc0o0/edit?usp=sharing"",""งบพรบ!CL37"")"),39810)</f>
        <v>39810</v>
      </c>
      <c r="O170" s="870">
        <f t="shared" ca="1" si="85"/>
        <v>172.63660017346055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IFERROR(__xludf.DUMMYFUNCTION("IMPORTRANGE(""https://docs.google.com/spreadsheets/d/1MeEWN-I1oV_STSDYn1IFDPWt_1FKiwhDph83XaGc0o0/edit?usp=sharing"",""งบพรบ!CH37"")"),0)</f>
        <v>0</v>
      </c>
      <c r="M173" s="870">
        <f ca="1">IFERROR(__xludf.DUMMYFUNCTION("IMPORTRANGE(""https://docs.google.com/spreadsheets/d/1MeEWN-I1oV_STSDYn1IFDPWt_1FKiwhDph83XaGc0o0/edit?usp=sharing"",""งบพรบ!CK37"")"),0)</f>
        <v>0</v>
      </c>
      <c r="N173" s="870">
        <f ca="1">IFERROR(__xludf.DUMMYFUNCTION("IMPORTRANGE(""https://docs.google.com/spreadsheets/d/1MeEWN-I1oV_STSDYn1IFDPWt_1FKiwhDph83XaGc0o0/edit?usp=sharing"",""งบพรบ!CM37"")"),0)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IFERROR(__xludf.DUMMYFUNCTION("IMPORTRANGE(""https://docs.google.com/spreadsheets/d/1QqKyyYR6Q21VydFLVH3TRQUabQu_ym0Zz7PgGX0-kHA/edit?usp=sharing"",""แผน!Y37"")"),12)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134000</v>
      </c>
      <c r="M181" s="972">
        <f t="shared" ca="1" si="92"/>
        <v>244100</v>
      </c>
      <c r="N181" s="972">
        <f t="shared" ca="1" si="92"/>
        <v>155979</v>
      </c>
      <c r="O181" s="972">
        <f t="shared" ref="O181:O189" ca="1" si="93">IF(L181&gt;0,N181*100/L181,0)</f>
        <v>116.40223880597014</v>
      </c>
      <c r="P181" s="972">
        <f t="shared" ref="P181:P189" ca="1" si="94">IF(M181&gt;0,N181*100/M181,0)</f>
        <v>63.899631298648096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134000</v>
      </c>
      <c r="M183" s="870">
        <f t="shared" ca="1" si="95"/>
        <v>244100</v>
      </c>
      <c r="N183" s="870">
        <f t="shared" ca="1" si="95"/>
        <v>155979</v>
      </c>
      <c r="O183" s="870">
        <f t="shared" ca="1" si="93"/>
        <v>116.40223880597014</v>
      </c>
      <c r="P183" s="870">
        <f t="shared" ca="1" si="94"/>
        <v>63.899631298648096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134000</v>
      </c>
      <c r="M184" s="864">
        <f t="shared" ca="1" si="96"/>
        <v>244100</v>
      </c>
      <c r="N184" s="864">
        <f t="shared" ca="1" si="96"/>
        <v>155979</v>
      </c>
      <c r="O184" s="864">
        <f t="shared" ca="1" si="93"/>
        <v>116.40223880597014</v>
      </c>
      <c r="P184" s="864">
        <f t="shared" ca="1" si="94"/>
        <v>63.899631298648096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IFERROR(__xludf.DUMMYFUNCTION("IMPORTRANGE(""https://docs.google.com/spreadsheets/d/1MeEWN-I1oV_STSDYn1IFDPWt_1FKiwhDph83XaGc0o0/edit?usp=sharing"",""งบพรบ!CO37"")"),134000)</f>
        <v>134000</v>
      </c>
      <c r="M186" s="870">
        <f ca="1">IFERROR(__xludf.DUMMYFUNCTION("IMPORTRANGE(""https://docs.google.com/spreadsheets/d/1MeEWN-I1oV_STSDYn1IFDPWt_1FKiwhDph83XaGc0o0/edit?usp=sharing"",""งบพรบ!CT37"")"),244100)</f>
        <v>244100</v>
      </c>
      <c r="N186" s="870">
        <f ca="1">IFERROR(__xludf.DUMMYFUNCTION("IMPORTRANGE(""https://docs.google.com/spreadsheets/d/1MeEWN-I1oV_STSDYn1IFDPWt_1FKiwhDph83XaGc0o0/edit?usp=sharing"",""งบพรบ!CV37"")"),155979)</f>
        <v>155979</v>
      </c>
      <c r="O186" s="870">
        <f t="shared" ca="1" si="93"/>
        <v>116.40223880597014</v>
      </c>
      <c r="P186" s="870">
        <f t="shared" ca="1" si="94"/>
        <v>63.899631298648096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IFERROR(__xludf.DUMMYFUNCTION("IMPORTRANGE(""https://docs.google.com/spreadsheets/d/1MeEWN-I1oV_STSDYn1IFDPWt_1FKiwhDph83XaGc0o0/edit?usp=sharing"",""งบพรบ!CR37"")"),0)</f>
        <v>0</v>
      </c>
      <c r="M189" s="870">
        <f ca="1">IFERROR(__xludf.DUMMYFUNCTION("IMPORTRANGE(""https://docs.google.com/spreadsheets/d/1MeEWN-I1oV_STSDYn1IFDPWt_1FKiwhDph83XaGc0o0/edit?usp=sharing"",""งบพรบ!CU37"")"),0)</f>
        <v>0</v>
      </c>
      <c r="N189" s="870">
        <f ca="1">IFERROR(__xludf.DUMMYFUNCTION("IMPORTRANGE(""https://docs.google.com/spreadsheets/d/1MeEWN-I1oV_STSDYn1IFDPWt_1FKiwhDph83XaGc0o0/edit?usp=sharing"",""งบพรบ!CW37"")"),0)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IFERROR(__xludf.DUMMYFUNCTION("IMPORTRANGE(""https://docs.google.com/spreadsheets/d/1QqKyyYR6Q21VydFLVH3TRQUabQu_ym0Zz7PgGX0-kHA/edit?usp=sharing"",""แผน!Z37"")"),6000)</f>
        <v>6000</v>
      </c>
      <c r="M191" s="972"/>
      <c r="N191" s="1060"/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IFERROR(__xludf.DUMMYFUNCTION("IMPORTRANGE(""https://docs.google.com/spreadsheets/d/1QqKyyYR6Q21VydFLVH3TRQUabQu_ym0Zz7PgGX0-kHA/edit?usp=sharing"",""แผน!AC37"")"),4)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2</v>
      </c>
      <c r="J197" s="1057">
        <f t="shared" si="99"/>
        <v>2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36000</v>
      </c>
      <c r="M198" s="972"/>
      <c r="N198" s="972">
        <f>N199+N200+N201+N202</f>
        <v>18000</v>
      </c>
      <c r="O198" s="972">
        <f ca="1">IF(L198&gt;0,N198*100/L198,0)</f>
        <v>50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IFERROR(__xludf.DUMMYFUNCTION("IMPORTRANGE(""https://docs.google.com/spreadsheets/d/1QqKyyYR6Q21VydFLVH3TRQUabQu_ym0Zz7PgGX0-kHA/edit?usp=sharing"",""แผน!AE37"")"),2000)</f>
        <v>2000</v>
      </c>
      <c r="M199" s="864"/>
      <c r="N199" s="1064">
        <v>2000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IFERROR(__xludf.DUMMYFUNCTION("IMPORTRANGE(""https://docs.google.com/spreadsheets/d/1QqKyyYR6Q21VydFLVH3TRQUabQu_ym0Zz7PgGX0-kHA/edit?usp=sharing"",""แผน!AF37"")"),16000)</f>
        <v>16000</v>
      </c>
      <c r="M200" s="864"/>
      <c r="N200" s="1064">
        <v>16000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IFERROR(__xludf.DUMMYFUNCTION("IMPORTRANGE(""https://docs.google.com/spreadsheets/d/1QqKyyYR6Q21VydFLVH3TRQUabQu_ym0Zz7PgGX0-kHA/edit?usp=sharing"",""แผน!AG37"")"),8000)</f>
        <v>8000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IFERROR(__xludf.DUMMYFUNCTION("IMPORTRANGE(""https://docs.google.com/spreadsheets/d/1QqKyyYR6Q21VydFLVH3TRQUabQu_ym0Zz7PgGX0-kHA/edit?usp=sharing"",""แผน!AH37"")"),10000)</f>
        <v>10000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IFERROR(__xludf.DUMMYFUNCTION("IMPORTRANGE(""https://docs.google.com/spreadsheets/d/1QqKyyYR6Q21VydFLVH3TRQUabQu_ym0Zz7PgGX0-kHA/edit?usp=sharing"",""แผน!AI37"")"),2)</f>
        <v>2</v>
      </c>
      <c r="J204" s="992">
        <v>2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2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2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6</v>
      </c>
      <c r="J208" s="1057">
        <f t="shared" si="101"/>
        <v>6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84000</v>
      </c>
      <c r="M209" s="972"/>
      <c r="N209" s="972">
        <f>N210+N211+N212</f>
        <v>53970</v>
      </c>
      <c r="O209" s="972">
        <f ca="1">IF(L209&gt;0,N209*100/L209,0)</f>
        <v>64.25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IFERROR(__xludf.DUMMYFUNCTION("IMPORTRANGE(""https://docs.google.com/spreadsheets/d/1QqKyyYR6Q21VydFLVH3TRQUabQu_ym0Zz7PgGX0-kHA/edit?usp=sharing"",""แผน!AK37"")"),6000)</f>
        <v>6000</v>
      </c>
      <c r="M210" s="864"/>
      <c r="N210" s="1064">
        <v>5970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IFERROR(__xludf.DUMMYFUNCTION("IMPORTRANGE(""https://docs.google.com/spreadsheets/d/1QqKyyYR6Q21VydFLVH3TRQUabQu_ym0Zz7PgGX0-kHA/edit?usp=sharing"",""แผน!AL37"")"),30000)</f>
        <v>30000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IFERROR(__xludf.DUMMYFUNCTION("IMPORTRANGE(""https://docs.google.com/spreadsheets/d/1QqKyyYR6Q21VydFLVH3TRQUabQu_ym0Zz7PgGX0-kHA/edit?usp=sharing"",""แผน!AM37"")"),48000)</f>
        <v>48000</v>
      </c>
      <c r="M212" s="864"/>
      <c r="N212" s="1064">
        <v>48000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IFERROR(__xludf.DUMMYFUNCTION("IMPORTRANGE(""https://docs.google.com/spreadsheets/d/1QqKyyYR6Q21VydFLVH3TRQUabQu_ym0Zz7PgGX0-kHA/edit?usp=sharing"",""แผน!AN37"")"),6)</f>
        <v>6</v>
      </c>
      <c r="J214" s="992"/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IFERROR(__xludf.DUMMYFUNCTION("IMPORTRANGE(""https://docs.google.com/spreadsheets/d/1QqKyyYR6Q21VydFLVH3TRQUabQu_ym0Zz7PgGX0-kHA/edit?usp=sharing"",""แผน!AN37"")"),6)</f>
        <v>6</v>
      </c>
      <c r="J215" s="992">
        <v>6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20000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8000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IFERROR(__xludf.DUMMYFUNCTION("IMPORTRANGE(""https://docs.google.com/spreadsheets/d/1QqKyyYR6Q21VydFLVH3TRQUabQu_ym0Zz7PgGX0-kHA/edit?usp=sharing"",""แผน!AP37"")"),3000)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IFERROR(__xludf.DUMMYFUNCTION("IMPORTRANGE(""https://docs.google.com/spreadsheets/d/1QqKyyYR6Q21VydFLVH3TRQUabQu_ym0Zz7PgGX0-kHA/edit?usp=sharing"",""แผน!AQ37"")"),5000)</f>
        <v>5000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IFERROR(__xludf.DUMMYFUNCTION("IMPORTRANGE(""https://docs.google.com/spreadsheets/d/1QqKyyYR6Q21VydFLVH3TRQUabQu_ym0Zz7PgGX0-kHA/edit?usp=sharing"",""แผน!AR37"")"),0)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IFERROR(__xludf.DUMMYFUNCTION("IMPORTRANGE(""https://docs.google.com/spreadsheets/d/1QqKyyYR6Q21VydFLVH3TRQUabQu_ym0Zz7PgGX0-kHA/edit?usp=sharing"",""แผน!AT37"")"),20000)</f>
        <v>20000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IFERROR(__xludf.DUMMYFUNCTION("IMPORTRANGE(""https://docs.google.com/spreadsheets/d/1QqKyyYR6Q21VydFLVH3TRQUabQu_ym0Zz7PgGX0-kHA/edit?usp=sharing"",""แผน!AT37"")"),20000)</f>
        <v>20000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IFERROR(__xludf.DUMMYFUNCTION("IMPORTRANGE(""https://docs.google.com/spreadsheets/d/1QqKyyYR6Q21VydFLVH3TRQUabQu_ym0Zz7PgGX0-kHA/edit?usp=sharing"",""แผน!AS37"")"),0)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IFERROR(__xludf.DUMMYFUNCTION("IMPORTRANGE(""https://docs.google.com/spreadsheets/d/1QqKyyYR6Q21VydFLVH3TRQUabQu_ym0Zz7PgGX0-kHA/edit?usp=sharing"",""แผน!AV37"")"),0)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IFERROR(__xludf.DUMMYFUNCTION("IMPORTRANGE(""https://docs.google.com/spreadsheets/d/1QqKyyYR6Q21VydFLVH3TRQUabQu_ym0Zz7PgGX0-kHA/edit?usp=sharing"",""แผน!AW37"")"),0)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IFERROR(__xludf.DUMMYFUNCTION("IMPORTRANGE(""https://docs.google.com/spreadsheets/d/1QqKyyYR6Q21VydFLVH3TRQUabQu_ym0Zz7PgGX0-kHA/edit?usp=sharing"",""แผน!AX37"")"),0)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IFERROR(__xludf.DUMMYFUNCTION("IMPORTRANGE(""https://docs.google.com/spreadsheets/d/1QqKyyYR6Q21VydFLVH3TRQUabQu_ym0Zz7PgGX0-kHA/edit?usp=sharing"",""แผน!AY37"")"),0)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IFERROR(__xludf.DUMMYFUNCTION("IMPORTRANGE(""https://docs.google.com/spreadsheets/d/1QqKyyYR6Q21VydFLVH3TRQUabQu_ym0Zz7PgGX0-kHA/edit?usp=sharing"",""แผน!BE37"")"),0)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IFERROR(__xludf.DUMMYFUNCTION("IMPORTRANGE(""https://docs.google.com/spreadsheets/d/1QqKyyYR6Q21VydFLVH3TRQUabQu_ym0Zz7PgGX0-kHA/edit?usp=sharing"",""แผน!AZ37"")"),0)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IFERROR(__xludf.DUMMYFUNCTION("IMPORTRANGE(""https://docs.google.com/spreadsheets/d/1QqKyyYR6Q21VydFLVH3TRQUabQu_ym0Zz7PgGX0-kHA/edit?usp=sharing"",""แผน!BA37"")"),0)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IFERROR(__xludf.DUMMYFUNCTION("IMPORTRANGE(""https://docs.google.com/spreadsheets/d/1QqKyyYR6Q21VydFLVH3TRQUabQu_ym0Zz7PgGX0-kHA/edit?usp=sharing"",""แผน!BB37"")"),0)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IFERROR(__xludf.DUMMYFUNCTION("IMPORTRANGE(""https://docs.google.com/spreadsheets/d/1QqKyyYR6Q21VydFLVH3TRQUabQu_ym0Zz7PgGX0-kHA/edit?usp=sharing"",""แผน!BC37"")"),0)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IFERROR(__xludf.DUMMYFUNCTION("IMPORTRANGE(""https://docs.google.com/spreadsheets/d/1QqKyyYR6Q21VydFLVH3TRQUabQu_ym0Zz7PgGX0-kHA/edit?usp=sharing"",""แผน!BF37"")"),0)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30</v>
      </c>
      <c r="J260" s="1041">
        <f t="shared" si="115"/>
        <v>30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177500</v>
      </c>
      <c r="M261" s="972">
        <f t="shared" ca="1" si="116"/>
        <v>135500</v>
      </c>
      <c r="N261" s="972">
        <f t="shared" ca="1" si="116"/>
        <v>78726</v>
      </c>
      <c r="O261" s="972">
        <f t="shared" ref="O261:O269" ca="1" si="117">IF(L261&gt;0,N261*100/L261,0)</f>
        <v>44.352676056338026</v>
      </c>
      <c r="P261" s="972">
        <f t="shared" ref="P261:P269" ca="1" si="118">IF(M261&gt;0,N261*100/M261,0)</f>
        <v>58.100369003690034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177500</v>
      </c>
      <c r="M263" s="870">
        <f t="shared" ca="1" si="119"/>
        <v>135500</v>
      </c>
      <c r="N263" s="870">
        <f t="shared" ca="1" si="119"/>
        <v>78726</v>
      </c>
      <c r="O263" s="870">
        <f t="shared" ca="1" si="117"/>
        <v>44.352676056338026</v>
      </c>
      <c r="P263" s="870">
        <f t="shared" ca="1" si="118"/>
        <v>58.100369003690034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177500</v>
      </c>
      <c r="M264" s="864">
        <f t="shared" ca="1" si="120"/>
        <v>135500</v>
      </c>
      <c r="N264" s="864">
        <f t="shared" ca="1" si="120"/>
        <v>78726</v>
      </c>
      <c r="O264" s="864">
        <f t="shared" ca="1" si="117"/>
        <v>44.352676056338026</v>
      </c>
      <c r="P264" s="864">
        <f t="shared" ca="1" si="118"/>
        <v>58.100369003690034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IFERROR(__xludf.DUMMYFUNCTION("IMPORTRANGE(""https://docs.google.com/spreadsheets/d/1MeEWN-I1oV_STSDYn1IFDPWt_1FKiwhDph83XaGc0o0/edit?usp=sharing"",""งบพรบ!CY37"")"),177500)</f>
        <v>177500</v>
      </c>
      <c r="M266" s="870">
        <f ca="1">IFERROR(__xludf.DUMMYFUNCTION("IMPORTRANGE(""https://docs.google.com/spreadsheets/d/1MeEWN-I1oV_STSDYn1IFDPWt_1FKiwhDph83XaGc0o0/edit?usp=sharing"",""งบพรบ!DD37"")"),135500)</f>
        <v>135500</v>
      </c>
      <c r="N266" s="870">
        <f ca="1">IFERROR(__xludf.DUMMYFUNCTION("IMPORTRANGE(""https://docs.google.com/spreadsheets/d/1MeEWN-I1oV_STSDYn1IFDPWt_1FKiwhDph83XaGc0o0/edit?usp=sharing"",""งบพรบ!DF37"")"),78726)</f>
        <v>78726</v>
      </c>
      <c r="O266" s="870">
        <f t="shared" ca="1" si="117"/>
        <v>44.352676056338026</v>
      </c>
      <c r="P266" s="870">
        <f t="shared" ca="1" si="118"/>
        <v>58.100369003690034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IFERROR(__xludf.DUMMYFUNCTION("IMPORTRANGE(""https://docs.google.com/spreadsheets/d/1MeEWN-I1oV_STSDYn1IFDPWt_1FKiwhDph83XaGc0o0/edit?usp=sharing"",""งบพรบ!DB37"")"),0)</f>
        <v>0</v>
      </c>
      <c r="M269" s="870">
        <f ca="1">IFERROR(__xludf.DUMMYFUNCTION("IMPORTRANGE(""https://docs.google.com/spreadsheets/d/1MeEWN-I1oV_STSDYn1IFDPWt_1FKiwhDph83XaGc0o0/edit?usp=sharing"",""งบพรบ!DE37"")"),0)</f>
        <v>0</v>
      </c>
      <c r="N269" s="870">
        <f ca="1">IFERROR(__xludf.DUMMYFUNCTION("IMPORTRANGE(""https://docs.google.com/spreadsheets/d/1MeEWN-I1oV_STSDYn1IFDPWt_1FKiwhDph83XaGc0o0/edit?usp=sharing"",""งบพรบ!DG37"")"),0)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IFERROR(__xludf.DUMMYFUNCTION("IMPORTRANGE(""https://docs.google.com/spreadsheets/d/1QqKyyYR6Q21VydFLVH3TRQUabQu_ym0Zz7PgGX0-kHA/edit?usp=sharing"",""แผน!EA37"")"),30)</f>
        <v>30</v>
      </c>
      <c r="J271" s="992">
        <v>30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10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100</v>
      </c>
      <c r="J276" s="1141">
        <f t="shared" si="124"/>
        <v>0</v>
      </c>
      <c r="K276" s="1140">
        <f t="shared" ca="1" si="123"/>
        <v>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198510</v>
      </c>
      <c r="M277" s="972">
        <f t="shared" ca="1" si="125"/>
        <v>140100</v>
      </c>
      <c r="N277" s="972">
        <f t="shared" ca="1" si="125"/>
        <v>85484</v>
      </c>
      <c r="O277" s="972">
        <f t="shared" ref="O277:O285" ca="1" si="126">IF(L277&gt;0,N277*100/L277,0)</f>
        <v>43.062817994055713</v>
      </c>
      <c r="P277" s="972">
        <f t="shared" ref="P277:P285" ca="1" si="127">IF(M277&gt;0,N277*100/M277,0)</f>
        <v>61.016416845110633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198510</v>
      </c>
      <c r="M279" s="870">
        <f t="shared" ca="1" si="128"/>
        <v>140100</v>
      </c>
      <c r="N279" s="870">
        <f t="shared" ca="1" si="128"/>
        <v>85484</v>
      </c>
      <c r="O279" s="870">
        <f t="shared" ca="1" si="126"/>
        <v>43.062817994055713</v>
      </c>
      <c r="P279" s="870">
        <f t="shared" ca="1" si="127"/>
        <v>61.016416845110633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198510</v>
      </c>
      <c r="M280" s="864">
        <f t="shared" ca="1" si="129"/>
        <v>140100</v>
      </c>
      <c r="N280" s="864">
        <f t="shared" ca="1" si="129"/>
        <v>85484</v>
      </c>
      <c r="O280" s="864">
        <f t="shared" ca="1" si="126"/>
        <v>43.062817994055713</v>
      </c>
      <c r="P280" s="864">
        <f t="shared" ca="1" si="127"/>
        <v>61.016416845110633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IFERROR(__xludf.DUMMYFUNCTION("IMPORTRANGE(""https://docs.google.com/spreadsheets/d/1MeEWN-I1oV_STSDYn1IFDPWt_1FKiwhDph83XaGc0o0/edit?usp=sharing"",""งบพรบ!DI37"")"),198510)</f>
        <v>198510</v>
      </c>
      <c r="M282" s="870">
        <f ca="1">IFERROR(__xludf.DUMMYFUNCTION("IMPORTRANGE(""https://docs.google.com/spreadsheets/d/1MeEWN-I1oV_STSDYn1IFDPWt_1FKiwhDph83XaGc0o0/edit?usp=sharing"",""งบพรบ!DN37"")"),140100)</f>
        <v>140100</v>
      </c>
      <c r="N282" s="870">
        <f ca="1">IFERROR(__xludf.DUMMYFUNCTION("IMPORTRANGE(""https://docs.google.com/spreadsheets/d/1MeEWN-I1oV_STSDYn1IFDPWt_1FKiwhDph83XaGc0o0/edit?usp=sharing"",""งบพรบ!DP37"")"),85484)</f>
        <v>85484</v>
      </c>
      <c r="O282" s="870">
        <f t="shared" ca="1" si="126"/>
        <v>43.062817994055713</v>
      </c>
      <c r="P282" s="870">
        <f t="shared" ca="1" si="127"/>
        <v>61.016416845110633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IFERROR(__xludf.DUMMYFUNCTION("IMPORTRANGE(""https://docs.google.com/spreadsheets/d/1MeEWN-I1oV_STSDYn1IFDPWt_1FKiwhDph83XaGc0o0/edit?usp=sharing"",""งบพรบ!DL37"")"),0)</f>
        <v>0</v>
      </c>
      <c r="M285" s="870">
        <f ca="1">IFERROR(__xludf.DUMMYFUNCTION("IMPORTRANGE(""https://docs.google.com/spreadsheets/d/1MeEWN-I1oV_STSDYn1IFDPWt_1FKiwhDph83XaGc0o0/edit?usp=sharing"",""งบพรบ!DO37"")"),0)</f>
        <v>0</v>
      </c>
      <c r="N285" s="870">
        <f ca="1">IFERROR(__xludf.DUMMYFUNCTION("IMPORTRANGE(""https://docs.google.com/spreadsheets/d/1MeEWN-I1oV_STSDYn1IFDPWt_1FKiwhDph83XaGc0o0/edit?usp=sharing"",""งบพรบ!DQ37"")"),0)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IFERROR(__xludf.DUMMYFUNCTION("IMPORTRANGE(""https://docs.google.com/spreadsheets/d/1QqKyyYR6Q21VydFLVH3TRQUabQu_ym0Zz7PgGX0-kHA/edit?usp=sharing"",""แผน!EC37"")"),100)</f>
        <v>100</v>
      </c>
      <c r="J287" s="992">
        <v>0</v>
      </c>
      <c r="K287" s="978">
        <f t="shared" ref="K287:K288" ca="1" si="131">IF(I287&gt;0,J287*100/I287,0)</f>
        <v>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IFERROR(__xludf.DUMMYFUNCTION("IMPORTRANGE(""https://docs.google.com/spreadsheets/d/1QqKyyYR6Q21VydFLVH3TRQUabQu_ym0Zz7PgGX0-kHA/edit?usp=sharing"",""แผน!EB37"")"),10)</f>
        <v>10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IFERROR(__xludf.DUMMYFUNCTION("IMPORTRANGE(""https://docs.google.com/spreadsheets/d/1QqKyyYR6Q21VydFLVH3TRQUabQu_ym0Zz7PgGX0-kHA/edit?usp=sharing"",""แผน!EB37"")"),10)</f>
        <v>10</v>
      </c>
      <c r="J290" s="992">
        <v>0</v>
      </c>
      <c r="K290" s="978">
        <f t="shared" ref="K290:K291" ca="1" si="132">IF(I290&gt;0,J290*100/I290,0)</f>
        <v>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IFERROR(__xludf.DUMMYFUNCTION("IMPORTRANGE(""https://docs.google.com/spreadsheets/d/1QqKyyYR6Q21VydFLVH3TRQUabQu_ym0Zz7PgGX0-kHA/edit?usp=sharing"",""แผน!EB37"")"),10)</f>
        <v>10</v>
      </c>
      <c r="J291" s="992">
        <v>0</v>
      </c>
      <c r="K291" s="978">
        <f t="shared" ca="1" si="132"/>
        <v>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IFERROR(__xludf.DUMMYFUNCTION("IMPORTRANGE(""https://docs.google.com/spreadsheets/d/1QqKyyYR6Q21VydFLVH3TRQUabQu_ym0Zz7PgGX0-kHA/edit?usp=sharing"",""แผน!EB37"")"),10)</f>
        <v>10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IFERROR(__xludf.DUMMYFUNCTION("IMPORTRANGE(""https://docs.google.com/spreadsheets/d/1QqKyyYR6Q21VydFLVH3TRQUabQu_ym0Zz7PgGX0-kHA/edit?usp=sharing"",""แผน!EB37"")"),10)</f>
        <v>10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IFERROR(__xludf.DUMMYFUNCTION("IMPORTRANGE(""https://docs.google.com/spreadsheets/d/1MeEWN-I1oV_STSDYn1IFDPWt_1FKiwhDph83XaGc0o0/edit?usp=sharing"",""งบพรบ!DS37"")"),0)</f>
        <v>0</v>
      </c>
      <c r="M303" s="870">
        <f ca="1">IFERROR(__xludf.DUMMYFUNCTION("IMPORTRANGE(""https://docs.google.com/spreadsheets/d/1MeEWN-I1oV_STSDYn1IFDPWt_1FKiwhDph83XaGc0o0/edit?usp=sharing"",""งบพรบ!DX37"")"),0)</f>
        <v>0</v>
      </c>
      <c r="N303" s="870">
        <f ca="1">IFERROR(__xludf.DUMMYFUNCTION("IMPORTRANGE(""https://docs.google.com/spreadsheets/d/1MeEWN-I1oV_STSDYn1IFDPWt_1FKiwhDph83XaGc0o0/edit?usp=sharing"",""งบพรบ!DZ37"")"),0)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IFERROR(__xludf.DUMMYFUNCTION("IMPORTRANGE(""https://docs.google.com/spreadsheets/d/1MeEWN-I1oV_STSDYn1IFDPWt_1FKiwhDph83XaGc0o0/edit?usp=sharing"",""งบพรบ!DV37"")"),0)</f>
        <v>0</v>
      </c>
      <c r="M306" s="870">
        <f ca="1">IFERROR(__xludf.DUMMYFUNCTION("IMPORTRANGE(""https://docs.google.com/spreadsheets/d/1MeEWN-I1oV_STSDYn1IFDPWt_1FKiwhDph83XaGc0o0/edit?usp=sharing"",""งบพรบ!DY37"")"),0)</f>
        <v>0</v>
      </c>
      <c r="N306" s="870">
        <f ca="1">IFERROR(__xludf.DUMMYFUNCTION("IMPORTRANGE(""https://docs.google.com/spreadsheets/d/1MeEWN-I1oV_STSDYn1IFDPWt_1FKiwhDph83XaGc0o0/edit?usp=sharing"",""งบพรบ!EA37"")"),0)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IFERROR(__xludf.DUMMYFUNCTION("IMPORTRANGE(""https://docs.google.com/spreadsheets/d/1QqKyyYR6Q21VydFLVH3TRQUabQu_ym0Zz7PgGX0-kHA/edit?usp=sharing"",""แผน!ED37"")"),0)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IFERROR(__xludf.DUMMYFUNCTION("IMPORTRANGE(""https://docs.google.com/spreadsheets/d/1QqKyyYR6Q21VydFLVH3TRQUabQu_ym0Zz7PgGX0-kHA/edit?usp=sharing"",""แผน!ED37"")"),0)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IFERROR(__xludf.DUMMYFUNCTION("IMPORTRANGE(""https://docs.google.com/spreadsheets/d/1QqKyyYR6Q21VydFLVH3TRQUabQu_ym0Zz7PgGX0-kHA/edit?usp=sharing"",""แผน!ED37"")"),0)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IFERROR(__xludf.DUMMYFUNCTION("IMPORTRANGE(""https://docs.google.com/spreadsheets/d/1QqKyyYR6Q21VydFLVH3TRQUabQu_ym0Zz7PgGX0-kHA/edit?usp=sharing"",""แผน!EE37"")"),0)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IFERROR(__xludf.DUMMYFUNCTION("IMPORTRANGE(""https://docs.google.com/spreadsheets/d/1MeEWN-I1oV_STSDYn1IFDPWt_1FKiwhDph83XaGc0o0/edit?usp=sharing"",""งบพรบ!EC37"")"),0)</f>
        <v>0</v>
      </c>
      <c r="M320" s="870">
        <f ca="1">IFERROR(__xludf.DUMMYFUNCTION("IMPORTRANGE(""https://docs.google.com/spreadsheets/d/1MeEWN-I1oV_STSDYn1IFDPWt_1FKiwhDph83XaGc0o0/edit?usp=sharing"",""งบพรบ!EH37"")"),0)</f>
        <v>0</v>
      </c>
      <c r="N320" s="870">
        <f ca="1">IFERROR(__xludf.DUMMYFUNCTION("IMPORTRANGE(""https://docs.google.com/spreadsheets/d/1MeEWN-I1oV_STSDYn1IFDPWt_1FKiwhDph83XaGc0o0/edit?usp=sharing"",""งบพรบ!EJ37"")"),0)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IFERROR(__xludf.DUMMYFUNCTION("IMPORTRANGE(""https://docs.google.com/spreadsheets/d/1MeEWN-I1oV_STSDYn1IFDPWt_1FKiwhDph83XaGc0o0/edit?usp=sharing"",""งบพรบ!EF37"")"),0)</f>
        <v>0</v>
      </c>
      <c r="M323" s="870">
        <f ca="1">IFERROR(__xludf.DUMMYFUNCTION("IMPORTRANGE(""https://docs.google.com/spreadsheets/d/1MeEWN-I1oV_STSDYn1IFDPWt_1FKiwhDph83XaGc0o0/edit?usp=sharing"",""งบพรบ!EI37"")"),0)</f>
        <v>0</v>
      </c>
      <c r="N323" s="870">
        <f ca="1">IFERROR(__xludf.DUMMYFUNCTION("IMPORTRANGE(""https://docs.google.com/spreadsheets/d/1MeEWN-I1oV_STSDYn1IFDPWt_1FKiwhDph83XaGc0o0/edit?usp=sharing"",""งบพรบ!EK37"")"),0)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IFERROR(__xludf.DUMMYFUNCTION("IMPORTRANGE(""https://docs.google.com/spreadsheets/d/1QqKyyYR6Q21VydFLVH3TRQUabQu_ym0Zz7PgGX0-kHA/edit?usp=sharing"",""แผน!EF37"")"),0)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IFERROR(__xludf.DUMMYFUNCTION("IMPORTRANGE(""https://docs.google.com/spreadsheets/d/1QqKyyYR6Q21VydFLVH3TRQUabQu_ym0Zz7PgGX0-kHA/edit?usp=sharing"",""แผน!EG37"")"),3600)</f>
        <v>3600</v>
      </c>
      <c r="J327" s="1170">
        <f ca="1">J338+J341+J342+J343</f>
        <v>1474</v>
      </c>
      <c r="K327" s="1171">
        <f ca="1">IF(I327&gt;0,J327*100/I327,0)</f>
        <v>40.944444444444443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179000</v>
      </c>
      <c r="M328" s="972">
        <f t="shared" ca="1" si="149"/>
        <v>136750</v>
      </c>
      <c r="N328" s="972">
        <f t="shared" ca="1" si="149"/>
        <v>60346</v>
      </c>
      <c r="O328" s="972">
        <f t="shared" ref="O328:O336" ca="1" si="150">IF(L328&gt;0,N328*100/L328,0)</f>
        <v>33.712849162011175</v>
      </c>
      <c r="P328" s="972">
        <f t="shared" ref="P328:P336" ca="1" si="151">IF(M328&gt;0,N328*100/M328,0)</f>
        <v>44.128702010968922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179000</v>
      </c>
      <c r="M330" s="870">
        <f t="shared" ca="1" si="152"/>
        <v>136750</v>
      </c>
      <c r="N330" s="870">
        <f t="shared" ca="1" si="152"/>
        <v>60346</v>
      </c>
      <c r="O330" s="870">
        <f t="shared" ca="1" si="150"/>
        <v>33.712849162011175</v>
      </c>
      <c r="P330" s="870">
        <f t="shared" ca="1" si="151"/>
        <v>44.128702010968922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179000</v>
      </c>
      <c r="M331" s="864">
        <f t="shared" ca="1" si="153"/>
        <v>136750</v>
      </c>
      <c r="N331" s="864">
        <f t="shared" ca="1" si="153"/>
        <v>60346</v>
      </c>
      <c r="O331" s="864">
        <f t="shared" ca="1" si="150"/>
        <v>33.712849162011175</v>
      </c>
      <c r="P331" s="864">
        <f t="shared" ca="1" si="151"/>
        <v>44.128702010968922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IFERROR(__xludf.DUMMYFUNCTION("IMPORTRANGE(""https://docs.google.com/spreadsheets/d/1MeEWN-I1oV_STSDYn1IFDPWt_1FKiwhDph83XaGc0o0/edit?usp=sharing"",""งบพรบ!EM37"")"),179000)</f>
        <v>179000</v>
      </c>
      <c r="M333" s="870">
        <f ca="1">IFERROR(__xludf.DUMMYFUNCTION("IMPORTRANGE(""https://docs.google.com/spreadsheets/d/1MeEWN-I1oV_STSDYn1IFDPWt_1FKiwhDph83XaGc0o0/edit?usp=sharing"",""งบพรบ!ER37"")"),136750)</f>
        <v>136750</v>
      </c>
      <c r="N333" s="870">
        <f ca="1">IFERROR(__xludf.DUMMYFUNCTION("IMPORTRANGE(""https://docs.google.com/spreadsheets/d/1MeEWN-I1oV_STSDYn1IFDPWt_1FKiwhDph83XaGc0o0/edit?usp=sharing"",""งบพรบ!ET37"")"),60346)</f>
        <v>60346</v>
      </c>
      <c r="O333" s="870">
        <f t="shared" ca="1" si="150"/>
        <v>33.712849162011175</v>
      </c>
      <c r="P333" s="870">
        <f t="shared" ca="1" si="151"/>
        <v>44.128702010968922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IFERROR(__xludf.DUMMYFUNCTION("IMPORTRANGE(""https://docs.google.com/spreadsheets/d/1MeEWN-I1oV_STSDYn1IFDPWt_1FKiwhDph83XaGc0o0/edit?usp=sharing"",""งบพรบ!EP37"")"),0)</f>
        <v>0</v>
      </c>
      <c r="M336" s="870">
        <f ca="1">IFERROR(__xludf.DUMMYFUNCTION("IMPORTRANGE(""https://docs.google.com/spreadsheets/d/1MeEWN-I1oV_STSDYn1IFDPWt_1FKiwhDph83XaGc0o0/edit?usp=sharing"",""งบพรบ!ES37"")"),0)</f>
        <v>0</v>
      </c>
      <c r="N336" s="870">
        <f ca="1">IFERROR(__xludf.DUMMYFUNCTION("IMPORTRANGE(""https://docs.google.com/spreadsheets/d/1MeEWN-I1oV_STSDYn1IFDPWt_1FKiwhDph83XaGc0o0/edit?usp=sharing"",""งบพรบ!EU37"")"),0)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IFERROR(__xludf.DUMMYFUNCTION("IMPORTRANGE(""https://docs.google.com/spreadsheets/d/1QqKyyYR6Q21VydFLVH3TRQUabQu_ym0Zz7PgGX0-kHA/edit?usp=sharing"",""แผน!EG37"")"),3600)</f>
        <v>3600</v>
      </c>
      <c r="J338" s="863">
        <f ca="1">IFERROR(__xludf.DUMMYFUNCTION("IMPORTRANGE(""https://docs.google.com/spreadsheets/d/1kVcqe37tkHyjCSG3S0O1AXqVkqjo8mSIZil3BcpIysc/edit?usp=sharing"",""ศูนย์!D37"")"),1435)</f>
        <v>1435</v>
      </c>
      <c r="K338" s="864">
        <f ca="1">IF(I338&gt;0,J338*100/I338,0)</f>
        <v>39.861111111111114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IFERROR(__xludf.DUMMYFUNCTION("IMPORTRANGE(""https://docs.google.com/spreadsheets/d/1QqKyyYR6Q21VydFLVH3TRQUabQu_ym0Zz7PgGX0-kHA/edit?usp=sharing"",""แผน!EH37"")"),8)</f>
        <v>8</v>
      </c>
      <c r="J340" s="863">
        <f ca="1">IFERROR(__xludf.DUMMYFUNCTION("IMPORTRANGE(""https://docs.google.com/spreadsheets/d/1kVcqe37tkHyjCSG3S0O1AXqVkqjo8mSIZil3BcpIysc/edit?usp=sharing"",""ศูนย์!E37"")"),1)</f>
        <v>1</v>
      </c>
      <c r="K340" s="864">
        <f ca="1">IF(I340&gt;0,J340*100/I340,0)</f>
        <v>12.5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IFERROR(__xludf.DUMMYFUNCTION("IMPORTRANGE(""https://docs.google.com/spreadsheets/d/1kVcqe37tkHyjCSG3S0O1AXqVkqjo8mSIZil3BcpIysc/edit?usp=sharing"",""ศูนย์!F37"")"),39)</f>
        <v>39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IFERROR(__xludf.DUMMYFUNCTION("IMPORTRANGE(""https://docs.google.com/spreadsheets/d/1kVcqe37tkHyjCSG3S0O1AXqVkqjo8mSIZil3BcpIysc/edit?usp=sharing"",""ศูนย์!G37"")"),0)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IFERROR(__xludf.DUMMYFUNCTION("IMPORTRANGE(""https://docs.google.com/spreadsheets/d/1kVcqe37tkHyjCSG3S0O1AXqVkqjo8mSIZil3BcpIysc/edit?usp=sharing"",""ศูนย์!H37"")"),0)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1464800</v>
      </c>
      <c r="M345" s="972">
        <f t="shared" ca="1" si="155"/>
        <v>1115444</v>
      </c>
      <c r="N345" s="972">
        <f t="shared" ca="1" si="155"/>
        <v>627497</v>
      </c>
      <c r="O345" s="972">
        <f t="shared" ref="O345:O353" ca="1" si="156">IF(L345&gt;0,N345*100/L345,0)</f>
        <v>42.838407973784818</v>
      </c>
      <c r="P345" s="972">
        <f t="shared" ref="P345:P353" ca="1" si="157">IF(M345&gt;0,N345*100/M345,0)</f>
        <v>56.255356611358344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1464800</v>
      </c>
      <c r="M347" s="870">
        <f t="shared" ca="1" si="158"/>
        <v>1115444</v>
      </c>
      <c r="N347" s="870">
        <f t="shared" ca="1" si="158"/>
        <v>627497</v>
      </c>
      <c r="O347" s="870">
        <f t="shared" ca="1" si="156"/>
        <v>42.838407973784818</v>
      </c>
      <c r="P347" s="870">
        <f t="shared" ca="1" si="157"/>
        <v>56.255356611358344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1329200</v>
      </c>
      <c r="M348" s="864">
        <f t="shared" ca="1" si="159"/>
        <v>979844</v>
      </c>
      <c r="N348" s="864">
        <f t="shared" ca="1" si="159"/>
        <v>491897</v>
      </c>
      <c r="O348" s="864">
        <f t="shared" ca="1" si="156"/>
        <v>37.006996689738187</v>
      </c>
      <c r="P348" s="864">
        <f t="shared" ca="1" si="157"/>
        <v>50.201562697735561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IFERROR(__xludf.DUMMYFUNCTION("IMPORTRANGE(""https://docs.google.com/spreadsheets/d/1MeEWN-I1oV_STSDYn1IFDPWt_1FKiwhDph83XaGc0o0/edit?usp=sharing"",""งบพรบ!EW37"")"),1329200)</f>
        <v>1329200</v>
      </c>
      <c r="M350" s="870">
        <f ca="1">IFERROR(__xludf.DUMMYFUNCTION("IMPORTRANGE(""https://docs.google.com/spreadsheets/d/1MeEWN-I1oV_STSDYn1IFDPWt_1FKiwhDph83XaGc0o0/edit?usp=sharing"",""งบพรบ!FB37"")"),979844)</f>
        <v>979844</v>
      </c>
      <c r="N350" s="870">
        <f ca="1">IFERROR(__xludf.DUMMYFUNCTION("IMPORTRANGE(""https://docs.google.com/spreadsheets/d/1MeEWN-I1oV_STSDYn1IFDPWt_1FKiwhDph83XaGc0o0/edit?usp=sharing"",""งบพรบ!FD37"")"),491897)</f>
        <v>491897</v>
      </c>
      <c r="O350" s="870">
        <f t="shared" ca="1" si="156"/>
        <v>37.006996689738187</v>
      </c>
      <c r="P350" s="870">
        <f t="shared" ca="1" si="157"/>
        <v>50.201562697735561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135600</v>
      </c>
      <c r="M351" s="864">
        <f t="shared" ca="1" si="160"/>
        <v>135600</v>
      </c>
      <c r="N351" s="864">
        <f t="shared" ca="1" si="160"/>
        <v>135600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IFERROR(__xludf.DUMMYFUNCTION("IMPORTRANGE(""https://docs.google.com/spreadsheets/d/1MeEWN-I1oV_STSDYn1IFDPWt_1FKiwhDph83XaGc0o0/edit?usp=sharing"",""งบพรบ!EZ37"")"),135600)</f>
        <v>135600</v>
      </c>
      <c r="M353" s="870">
        <f ca="1">IFERROR(__xludf.DUMMYFUNCTION("IMPORTRANGE(""https://docs.google.com/spreadsheets/d/1MeEWN-I1oV_STSDYn1IFDPWt_1FKiwhDph83XaGc0o0/edit?usp=sharing"",""งบพรบ!FC37"")"),135600)</f>
        <v>135600</v>
      </c>
      <c r="N353" s="870">
        <f ca="1">IFERROR(__xludf.DUMMYFUNCTION("IMPORTRANGE(""https://docs.google.com/spreadsheets/d/1MeEWN-I1oV_STSDYn1IFDPWt_1FKiwhDph83XaGc0o0/edit?usp=sharing"",""งบพรบ!FE37"")"),135600)</f>
        <v>135600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IFERROR(__xludf.DUMMYFUNCTION("IMPORTRANGE(""https://docs.google.com/spreadsheets/d/1QqKyyYR6Q21VydFLVH3TRQUabQu_ym0Zz7PgGX0-kHA/edit?usp=sharing"",""แผน!EP37"")"),620)</f>
        <v>620</v>
      </c>
      <c r="J355" s="1186">
        <f ca="1">J362</f>
        <v>0</v>
      </c>
      <c r="K355" s="1187">
        <f ca="1">IF(I355&gt;0,J355*100/I355,0)</f>
        <v>0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IFERROR(__xludf.DUMMYFUNCTION("IMPORTRANGE(""https://docs.google.com/spreadsheets/d/1XWAQStnk-4SwqDmLtmXYiTMKHgktTP8We1SCoS47DrQ/edit?usp=sharing"",""จัดที่ดิน!W37"")"),283)</f>
        <v>283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IFERROR(__xludf.DUMMYFUNCTION("IMPORTRANGE(""https://docs.google.com/spreadsheets/d/1QqKyyYR6Q21VydFLVH3TRQUabQu_ym0Zz7PgGX0-kHA/edit?usp=sharing"",""แผน!EO37"")"),6300)</f>
        <v>6300</v>
      </c>
      <c r="J359" s="863">
        <f ca="1">IFERROR(__xludf.DUMMYFUNCTION("IMPORTRANGE(""https://docs.google.com/spreadsheets/d/1XWAQStnk-4SwqDmLtmXYiTMKHgktTP8We1SCoS47DrQ/edit?usp=sharing"",""จัดที่ดิน!X37"")"),3303.52)</f>
        <v>3303.52</v>
      </c>
      <c r="K359" s="864">
        <f t="shared" ca="1" si="161"/>
        <v>52.436825396825398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IFERROR(__xludf.DUMMYFUNCTION("IMPORTRANGE(""https://docs.google.com/spreadsheets/d/1QqKyyYR6Q21VydFLVH3TRQUabQu_ym0Zz7PgGX0-kHA/edit?usp=sharing"",""แผน!EP37"")"),620)</f>
        <v>620</v>
      </c>
      <c r="J360" s="863">
        <f ca="1">IFERROR(__xludf.DUMMYFUNCTION("IMPORTRANGE(""https://docs.google.com/spreadsheets/d/1XWAQStnk-4SwqDmLtmXYiTMKHgktTP8We1SCoS47DrQ/edit?usp=sharing"",""จัดที่ดิน!Y37"")"),23)</f>
        <v>23</v>
      </c>
      <c r="K360" s="864">
        <f t="shared" ca="1" si="161"/>
        <v>3.7096774193548385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IFERROR(__xludf.DUMMYFUNCTION("IMPORTRANGE(""https://docs.google.com/spreadsheets/d/1XWAQStnk-4SwqDmLtmXYiTMKHgktTP8We1SCoS47DrQ/edit?usp=sharing"",""จัดที่ดิน!Z37"")"),249.14)</f>
        <v>249.14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IFERROR(__xludf.DUMMYFUNCTION("IMPORTRANGE(""https://docs.google.com/spreadsheets/d/1QqKyyYR6Q21VydFLVH3TRQUabQu_ym0Zz7PgGX0-kHA/edit?usp=sharing"",""แผน!EP37"")"),620)</f>
        <v>620</v>
      </c>
      <c r="J362" s="863">
        <f ca="1">IFERROR(__xludf.DUMMYFUNCTION("IMPORTRANGE(""https://docs.google.com/spreadsheets/d/1XWAQStnk-4SwqDmLtmXYiTMKHgktTP8We1SCoS47DrQ/edit?usp=sharing"",""จัดที่ดิน!AA37"")"),0)</f>
        <v>0</v>
      </c>
      <c r="K362" s="864">
        <f t="shared" ca="1" si="161"/>
        <v>0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IFERROR(__xludf.DUMMYFUNCTION("IMPORTRANGE(""https://docs.google.com/spreadsheets/d/1XWAQStnk-4SwqDmLtmXYiTMKHgktTP8We1SCoS47DrQ/edit?usp=sharing"",""จัดที่ดิน!AB37"")"),0)</f>
        <v>0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1520</v>
      </c>
      <c r="J364" s="1199">
        <f t="shared" ca="1" si="162"/>
        <v>92</v>
      </c>
      <c r="K364" s="1200">
        <f t="shared" ca="1" si="161"/>
        <v>6.0526315789473681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IFERROR(__xludf.DUMMYFUNCTION("IMPORTRANGE(""https://docs.google.com/spreadsheets/d/1QqKyyYR6Q21VydFLVH3TRQUabQu_ym0Zz7PgGX0-kHA/edit?usp=sharing"",""แผน!EJ37"")"),20)</f>
        <v>20</v>
      </c>
      <c r="J365" s="1207">
        <f ca="1">J372</f>
        <v>0</v>
      </c>
      <c r="K365" s="1208">
        <f t="shared" ca="1" si="161"/>
        <v>0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IFERROR(__xludf.DUMMYFUNCTION("IMPORTRANGE(""https://docs.google.com/spreadsheets/d/1XWAQStnk-4SwqDmLtmXYiTMKHgktTP8We1SCoS47DrQ/edit?usp=sharing"",""จัดที่ดิน!E37"")"),26)</f>
        <v>26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IFERROR(__xludf.DUMMYFUNCTION("IMPORTRANGE(""https://docs.google.com/spreadsheets/d/1QqKyyYR6Q21VydFLVH3TRQUabQu_ym0Zz7PgGX0-kHA/edit?usp=sharing"",""แผน!EI37"")"),300)</f>
        <v>300</v>
      </c>
      <c r="J369" s="863">
        <f ca="1">IFERROR(__xludf.DUMMYFUNCTION("IMPORTRANGE(""https://docs.google.com/spreadsheets/d/1XWAQStnk-4SwqDmLtmXYiTMKHgktTP8We1SCoS47DrQ/edit?usp=sharing"",""จัดที่ดิน!F37"")"),319.68)</f>
        <v>319.68</v>
      </c>
      <c r="K369" s="864">
        <f t="shared" ca="1" si="163"/>
        <v>106.56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IFERROR(__xludf.DUMMYFUNCTION("IMPORTRANGE(""https://docs.google.com/spreadsheets/d/1QqKyyYR6Q21VydFLVH3TRQUabQu_ym0Zz7PgGX0-kHA/edit?usp=sharing"",""แผน!EJ37"")"),20)</f>
        <v>20</v>
      </c>
      <c r="J370" s="863">
        <f ca="1">IFERROR(__xludf.DUMMYFUNCTION("IMPORTRANGE(""https://docs.google.com/spreadsheets/d/1XWAQStnk-4SwqDmLtmXYiTMKHgktTP8We1SCoS47DrQ/edit?usp=sharing"",""จัดที่ดิน!G37"")"),10)</f>
        <v>10</v>
      </c>
      <c r="K370" s="864">
        <f t="shared" ca="1" si="163"/>
        <v>50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IFERROR(__xludf.DUMMYFUNCTION("IMPORTRANGE(""https://docs.google.com/spreadsheets/d/1XWAQStnk-4SwqDmLtmXYiTMKHgktTP8We1SCoS47DrQ/edit?usp=sharing"",""จัดที่ดิน!H37"")"),119.42)</f>
        <v>119.42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IFERROR(__xludf.DUMMYFUNCTION("IMPORTRANGE(""https://docs.google.com/spreadsheets/d/1QqKyyYR6Q21VydFLVH3TRQUabQu_ym0Zz7PgGX0-kHA/edit?usp=sharing"",""แผน!EJ37"")"),20)</f>
        <v>20</v>
      </c>
      <c r="J372" s="863">
        <f ca="1">IFERROR(__xludf.DUMMYFUNCTION("IMPORTRANGE(""https://docs.google.com/spreadsheets/d/1XWAQStnk-4SwqDmLtmXYiTMKHgktTP8We1SCoS47DrQ/edit?usp=sharing"",""จัดที่ดิน!I37"")"),0)</f>
        <v>0</v>
      </c>
      <c r="K372" s="864">
        <f t="shared" ca="1" si="163"/>
        <v>0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IFERROR(__xludf.DUMMYFUNCTION("IMPORTRANGE(""https://docs.google.com/spreadsheets/d/1XWAQStnk-4SwqDmLtmXYiTMKHgktTP8We1SCoS47DrQ/edit?usp=sharing"",""จัดที่ดิน!J37"")"),0)</f>
        <v>0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IFERROR(__xludf.DUMMYFUNCTION("IMPORTRANGE(""https://docs.google.com/spreadsheets/d/1QqKyyYR6Q21VydFLVH3TRQUabQu_ym0Zz7PgGX0-kHA/edit?usp=sharing"",""แผน!EU37"")"),1500)</f>
        <v>1500</v>
      </c>
      <c r="J374" s="1207">
        <f ca="1">J381</f>
        <v>92</v>
      </c>
      <c r="K374" s="1208">
        <f t="shared" ca="1" si="163"/>
        <v>6.1333333333333337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IFERROR(__xludf.DUMMYFUNCTION("IMPORTRANGE(""https://docs.google.com/spreadsheets/d/1XWAQStnk-4SwqDmLtmXYiTMKHgktTP8We1SCoS47DrQ/edit?usp=sharing"",""จัดที่ดิน!AH37"")"),257)</f>
        <v>257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IFERROR(__xludf.DUMMYFUNCTION("IMPORTRANGE(""https://docs.google.com/spreadsheets/d/1QqKyyYR6Q21VydFLVH3TRQUabQu_ym0Zz7PgGX0-kHA/edit?usp=sharing"",""แผน!ET37"")"),6000)</f>
        <v>6000</v>
      </c>
      <c r="J378" s="863">
        <f ca="1">IFERROR(__xludf.DUMMYFUNCTION("IMPORTRANGE(""https://docs.google.com/spreadsheets/d/1XWAQStnk-4SwqDmLtmXYiTMKHgktTP8We1SCoS47DrQ/edit?usp=sharing"",""จัดที่ดิน!AI37"")"),2983.84)</f>
        <v>2983.84</v>
      </c>
      <c r="K378" s="864">
        <f t="shared" ca="1" si="164"/>
        <v>49.730666666666664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IFERROR(__xludf.DUMMYFUNCTION("IMPORTRANGE(""https://docs.google.com/spreadsheets/d/1QqKyyYR6Q21VydFLVH3TRQUabQu_ym0Zz7PgGX0-kHA/edit?usp=sharing"",""แผน!EU37"")"),1500)</f>
        <v>1500</v>
      </c>
      <c r="J379" s="863">
        <f ca="1">IFERROR(__xludf.DUMMYFUNCTION("IMPORTRANGE(""https://docs.google.com/spreadsheets/d/1XWAQStnk-4SwqDmLtmXYiTMKHgktTP8We1SCoS47DrQ/edit?usp=sharing"",""จัดที่ดิน!AJ37"")"),325)</f>
        <v>325</v>
      </c>
      <c r="K379" s="864">
        <f t="shared" ca="1" si="164"/>
        <v>21.666666666666668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IFERROR(__xludf.DUMMYFUNCTION("IMPORTRANGE(""https://docs.google.com/spreadsheets/d/1XWAQStnk-4SwqDmLtmXYiTMKHgktTP8We1SCoS47DrQ/edit?usp=sharing"",""จัดที่ดิน!AK37"")"),5271.55)</f>
        <v>5271.55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IFERROR(__xludf.DUMMYFUNCTION("IMPORTRANGE(""https://docs.google.com/spreadsheets/d/1QqKyyYR6Q21VydFLVH3TRQUabQu_ym0Zz7PgGX0-kHA/edit?usp=sharing"",""แผน!EU37"")"),1500)</f>
        <v>1500</v>
      </c>
      <c r="J381" s="863">
        <f ca="1">IFERROR(__xludf.DUMMYFUNCTION("IMPORTRANGE(""https://docs.google.com/spreadsheets/d/1XWAQStnk-4SwqDmLtmXYiTMKHgktTP8We1SCoS47DrQ/edit?usp=sharing"",""จัดที่ดิน!AL37"")"),92)</f>
        <v>92</v>
      </c>
      <c r="K381" s="864">
        <f t="shared" ca="1" si="164"/>
        <v>6.1333333333333337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IFERROR(__xludf.DUMMYFUNCTION("IMPORTRANGE(""https://docs.google.com/spreadsheets/d/1XWAQStnk-4SwqDmLtmXYiTMKHgktTP8We1SCoS47DrQ/edit?usp=sharing"",""จัดที่ดิน!AM37"")"),1632.15)</f>
        <v>1632.15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IFERROR(__xludf.DUMMYFUNCTION("IMPORTRANGE(""https://docs.google.com/spreadsheets/d/1QqKyyYR6Q21VydFLVH3TRQUabQu_ym0Zz7PgGX0-kHA/edit?usp=sharing"",""แผน!EW37"")"),186)</f>
        <v>186</v>
      </c>
      <c r="J385" s="1117">
        <f ca="1">IFERROR(__xludf.DUMMYFUNCTION("IMPORTRANGE(""https://docs.google.com/spreadsheets/d/1XWAQStnk-4SwqDmLtmXYiTMKHgktTP8We1SCoS47DrQ/edit?usp=sharing"",""จัดที่ดิน!AP37"")"),0)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IFERROR(__xludf.DUMMYFUNCTION("IMPORTRANGE(""https://docs.google.com/spreadsheets/d/1MeEWN-I1oV_STSDYn1IFDPWt_1FKiwhDph83XaGc0o0/edit?usp=sharing"",""งบพรบ!FG37"")"),0)</f>
        <v>0</v>
      </c>
      <c r="M394" s="870">
        <f ca="1">IFERROR(__xludf.DUMMYFUNCTION("IMPORTRANGE(""https://docs.google.com/spreadsheets/d/1MeEWN-I1oV_STSDYn1IFDPWt_1FKiwhDph83XaGc0o0/edit?usp=sharing"",""งบพรบ!FL37"")"),0)</f>
        <v>0</v>
      </c>
      <c r="N394" s="870">
        <f ca="1">IFERROR(__xludf.DUMMYFUNCTION("IMPORTRANGE(""https://docs.google.com/spreadsheets/d/1MeEWN-I1oV_STSDYn1IFDPWt_1FKiwhDph83XaGc0o0/edit?usp=sharing"",""งบพรบ!FN37"")"),0)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IFERROR(__xludf.DUMMYFUNCTION("IMPORTRANGE(""https://docs.google.com/spreadsheets/d/1MeEWN-I1oV_STSDYn1IFDPWt_1FKiwhDph83XaGc0o0/edit?usp=sharing"",""งบพรบ!FJ37"")"),0)</f>
        <v>0</v>
      </c>
      <c r="M397" s="870">
        <f ca="1">IFERROR(__xludf.DUMMYFUNCTION("IMPORTRANGE(""https://docs.google.com/spreadsheets/d/1MeEWN-I1oV_STSDYn1IFDPWt_1FKiwhDph83XaGc0o0/edit?usp=sharing"",""งบพรบ!FM37"")"),0)</f>
        <v>0</v>
      </c>
      <c r="N397" s="870">
        <f ca="1">IFERROR(__xludf.DUMMYFUNCTION("IMPORTRANGE(""https://docs.google.com/spreadsheets/d/1MeEWN-I1oV_STSDYn1IFDPWt_1FKiwhDph83XaGc0o0/edit?usp=sharing"",""งบพรบ!FO37"")"),0)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IFERROR(__xludf.DUMMYFUNCTION("IMPORTRANGE(""https://docs.google.com/spreadsheets/d/1MeEWN-I1oV_STSDYn1IFDPWt_1FKiwhDph83XaGc0o0/edit?usp=sharing"",""งบพรบ!FQ37"")"),0)</f>
        <v>0</v>
      </c>
      <c r="M407" s="870">
        <f ca="1">IFERROR(__xludf.DUMMYFUNCTION("IMPORTRANGE(""https://docs.google.com/spreadsheets/d/1MeEWN-I1oV_STSDYn1IFDPWt_1FKiwhDph83XaGc0o0/edit?usp=sharing"",""งบพรบ!FV37"")"),0)</f>
        <v>0</v>
      </c>
      <c r="N407" s="870">
        <f ca="1">IFERROR(__xludf.DUMMYFUNCTION("IMPORTRANGE(""https://docs.google.com/spreadsheets/d/1MeEWN-I1oV_STSDYn1IFDPWt_1FKiwhDph83XaGc0o0/edit?usp=sharing"",""งบพรบ!FX37"")"),0)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IFERROR(__xludf.DUMMYFUNCTION("IMPORTRANGE(""https://docs.google.com/spreadsheets/d/1MeEWN-I1oV_STSDYn1IFDPWt_1FKiwhDph83XaGc0o0/edit?usp=sharing"",""งบพรบ!FT37"")"),0)</f>
        <v>0</v>
      </c>
      <c r="M410" s="870">
        <f ca="1">IFERROR(__xludf.DUMMYFUNCTION("IMPORTRANGE(""https://docs.google.com/spreadsheets/d/1MeEWN-I1oV_STSDYn1IFDPWt_1FKiwhDph83XaGc0o0/edit?usp=sharing"",""งบพรบ!FW37"")"),0)</f>
        <v>0</v>
      </c>
      <c r="N410" s="870">
        <f ca="1">IFERROR(__xludf.DUMMYFUNCTION("IMPORTRANGE(""https://docs.google.com/spreadsheets/d/1MeEWN-I1oV_STSDYn1IFDPWt_1FKiwhDph83XaGc0o0/edit?usp=sharing"",""งบพรบ!FY37"")"),0)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2803355</v>
      </c>
      <c r="M414" s="1257">
        <f t="shared" si="181"/>
        <v>0</v>
      </c>
      <c r="N414" s="1257">
        <f t="shared" si="181"/>
        <v>657085</v>
      </c>
      <c r="O414" s="1257">
        <f ca="1">IF(L414&gt;0,N414*100/L414,0)</f>
        <v>23.439236200909267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15</v>
      </c>
      <c r="J417" s="1270">
        <f t="shared" ca="1" si="182"/>
        <v>15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66760</v>
      </c>
      <c r="M419" s="972">
        <f t="shared" si="184"/>
        <v>0</v>
      </c>
      <c r="N419" s="972">
        <f t="shared" si="184"/>
        <v>52760</v>
      </c>
      <c r="O419" s="972">
        <f t="shared" ref="O419:O424" ca="1" si="185">IF(L419&gt;0,N419*100/L419,0)</f>
        <v>79.029358897543446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66760</v>
      </c>
      <c r="M421" s="870">
        <f t="shared" si="187"/>
        <v>0</v>
      </c>
      <c r="N421" s="870">
        <f t="shared" si="187"/>
        <v>52760</v>
      </c>
      <c r="O421" s="870">
        <f t="shared" ca="1" si="185"/>
        <v>79.029358897543446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66760</v>
      </c>
      <c r="M422" s="864">
        <f t="shared" si="188"/>
        <v>0</v>
      </c>
      <c r="N422" s="864">
        <f t="shared" si="188"/>
        <v>52760</v>
      </c>
      <c r="O422" s="864">
        <f t="shared" ca="1" si="185"/>
        <v>79.029358897543446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IFERROR(__xludf.DUMMYFUNCTION("IMPORTRANGE(""https://docs.google.com/spreadsheets/d/1QqKyyYR6Q21VydFLVH3TRQUabQu_ym0Zz7PgGX0-kHA/edit?usp=sharing"",""แผน!EY37"")"),66760)</f>
        <v>66760</v>
      </c>
      <c r="M424" s="870">
        <v>0</v>
      </c>
      <c r="N424" s="870">
        <f>N425+N426+N427+N428</f>
        <v>52760</v>
      </c>
      <c r="O424" s="870">
        <f t="shared" ca="1" si="185"/>
        <v>79.029358897543446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f>18950+3240+6110+16000</f>
        <v>44300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8460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IFERROR(__xludf.DUMMYFUNCTION("IMPORTRANGE(""https://docs.google.com/spreadsheets/d/1QqKyyYR6Q21VydFLVH3TRQUabQu_ym0Zz7PgGX0-kHA/edit?usp=sharing"",""แผน!FB37"")"),0)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15</v>
      </c>
      <c r="J433" s="999">
        <f ca="1">IF(AND(J435=I435,J437=I437,J439=I439),I437+I439,IF(AND(J435=I437,J437=I437),I437,IF(AND(J435=I439,J439=I439),I439,0)))</f>
        <v>15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IFERROR(__xludf.DUMMYFUNCTION("IMPORTRANGE(""https://docs.google.com/spreadsheets/d/1QqKyyYR6Q21VydFLVH3TRQUabQu_ym0Zz7PgGX0-kHA/edit?usp=sharing"",""แผน!FC37"")"),15)</f>
        <v>15</v>
      </c>
      <c r="J435" s="578">
        <v>15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IFERROR(__xludf.DUMMYFUNCTION("IMPORTRANGE(""https://docs.google.com/spreadsheets/d/1QqKyyYR6Q21VydFLVH3TRQUabQu_ym0Zz7PgGX0-kHA/edit?usp=sharing"",""แผน!FD37"")"),0)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IFERROR(__xludf.DUMMYFUNCTION("IMPORTRANGE(""https://docs.google.com/spreadsheets/d/1QqKyyYR6Q21VydFLVH3TRQUabQu_ym0Zz7PgGX0-kHA/edit?usp=sharing"",""แผน!FE37"")"),0)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IFERROR(__xludf.DUMMYFUNCTION("IMPORTRANGE(""https://docs.google.com/spreadsheets/d/1QqKyyYR6Q21VydFLVH3TRQUabQu_ym0Zz7PgGX0-kHA/edit?usp=sharing"",""แผน!FF37"")"),15)</f>
        <v>15</v>
      </c>
      <c r="J439" s="578">
        <v>15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IFERROR(__xludf.DUMMYFUNCTION("IMPORTRANGE(""https://docs.google.com/spreadsheets/d/1QqKyyYR6Q21VydFLVH3TRQUabQu_ym0Zz7PgGX0-kHA/edit?usp=sharing"",""แผน!FG37"")"),1)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IFERROR(__xludf.DUMMYFUNCTION("IMPORTRANGE(""https://docs.google.com/spreadsheets/d/1QqKyyYR6Q21VydFLVH3TRQUabQu_ym0Zz7PgGX0-kHA/edit?usp=sharing"",""แผน!FH37"")"),0)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100</v>
      </c>
      <c r="J442" s="1285">
        <f t="shared" si="195"/>
        <v>50</v>
      </c>
      <c r="K442" s="1286">
        <f t="shared" ca="1" si="194"/>
        <v>50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150</v>
      </c>
      <c r="J443" s="1270">
        <f t="shared" si="196"/>
        <v>75</v>
      </c>
      <c r="K443" s="1271">
        <f t="shared" ca="1" si="194"/>
        <v>50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503280</v>
      </c>
      <c r="M444" s="1000">
        <f t="shared" si="197"/>
        <v>0</v>
      </c>
      <c r="N444" s="1000">
        <f t="shared" si="197"/>
        <v>119136</v>
      </c>
      <c r="O444" s="1000">
        <f t="shared" ref="O444:O449" ca="1" si="198">IF(L444&gt;0,N444*100/L444,0)</f>
        <v>23.671912255603242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503280</v>
      </c>
      <c r="M446" s="870">
        <f t="shared" si="200"/>
        <v>0</v>
      </c>
      <c r="N446" s="870">
        <f t="shared" si="200"/>
        <v>119136</v>
      </c>
      <c r="O446" s="870">
        <f t="shared" ca="1" si="198"/>
        <v>23.671912255603242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503280</v>
      </c>
      <c r="M447" s="864">
        <f t="shared" si="201"/>
        <v>0</v>
      </c>
      <c r="N447" s="864">
        <f t="shared" si="201"/>
        <v>119136</v>
      </c>
      <c r="O447" s="864">
        <f t="shared" ca="1" si="198"/>
        <v>23.671912255603242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IFERROR(__xludf.DUMMYFUNCTION("IMPORTRANGE(""https://docs.google.com/spreadsheets/d/1QqKyyYR6Q21VydFLVH3TRQUabQu_ym0Zz7PgGX0-kHA/edit?usp=sharing"",""แผน!FJ37"")"),503280)</f>
        <v>503280</v>
      </c>
      <c r="M449" s="870">
        <v>0</v>
      </c>
      <c r="N449" s="870">
        <f>N450+N451+N452+N453</f>
        <v>119136</v>
      </c>
      <c r="O449" s="870">
        <f t="shared" ca="1" si="198"/>
        <v>23.671912255603242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f>43570</f>
        <v>43570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f>36886+13000</f>
        <v>49886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25680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IFERROR(__xludf.DUMMYFUNCTION("IMPORTRANGE(""https://docs.google.com/spreadsheets/d/1QqKyyYR6Q21VydFLVH3TRQUabQu_ym0Zz7PgGX0-kHA/edit?usp=sharing"",""แผน!FM37"")"),0)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IFERROR(__xludf.DUMMYFUNCTION("IMPORTRANGE(""https://docs.google.com/spreadsheets/d/1QqKyyYR6Q21VydFLVH3TRQUabQu_ym0Zz7PgGX0-kHA/edit?usp=sharing"",""แผน!FN37"")"),100)</f>
        <v>100</v>
      </c>
      <c r="J460" s="992">
        <v>50</v>
      </c>
      <c r="K460" s="864">
        <f ca="1">IF(I460&gt;0,J460*100/I460,0)</f>
        <v>50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IFERROR(__xludf.DUMMYFUNCTION("IMPORTRANGE(""https://docs.google.com/spreadsheets/d/1QqKyyYR6Q21VydFLVH3TRQUabQu_ym0Zz7PgGX0-kHA/edit?usp=sharing"",""แผน!FO37"")"),150)</f>
        <v>150</v>
      </c>
      <c r="J462" s="992">
        <v>75</v>
      </c>
      <c r="K462" s="864">
        <f ca="1">IF(I462&gt;0,J462*100/I462,0)</f>
        <v>50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IFERROR(__xludf.DUMMYFUNCTION("IMPORTRANGE(""https://docs.google.com/spreadsheets/d/1QqKyyYR6Q21VydFLVH3TRQUabQu_ym0Zz7PgGX0-kHA/edit?usp=sharing"",""แผน!FO37"")"),150)</f>
        <v>150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IFERROR(__xludf.DUMMYFUNCTION("IMPORTRANGE(""https://docs.google.com/spreadsheets/d/1QqKyyYR6Q21VydFLVH3TRQUabQu_ym0Zz7PgGX0-kHA/edit?usp=sharing"",""แผน!FN37"")"),100)</f>
        <v>100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IFERROR(__xludf.DUMMYFUNCTION("IMPORTRANGE(""https://docs.google.com/spreadsheets/d/1QqKyyYR6Q21VydFLVH3TRQUabQu_ym0Zz7PgGX0-kHA/edit?usp=sharing"",""แผน!FX37"")"),131)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IFERROR(__xludf.DUMMYFUNCTION("IMPORTRANGE(""https://docs.google.com/spreadsheets/d/1QqKyyYR6Q21VydFLVH3TRQUabQu_ym0Zz7PgGX0-kHA/edit?usp=sharing"",""แผน!FW37"")"),1300)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1173538</v>
      </c>
      <c r="M467" s="1000">
        <f t="shared" si="206"/>
        <v>0</v>
      </c>
      <c r="N467" s="1000">
        <f t="shared" si="206"/>
        <v>186123</v>
      </c>
      <c r="O467" s="1000">
        <f t="shared" ref="O467:O472" ca="1" si="207">IF(L467&gt;0,N467*100/L467,0)</f>
        <v>15.859989195066543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1173538</v>
      </c>
      <c r="M469" s="870">
        <f t="shared" si="209"/>
        <v>0</v>
      </c>
      <c r="N469" s="870">
        <f t="shared" si="209"/>
        <v>186123</v>
      </c>
      <c r="O469" s="870">
        <f t="shared" ca="1" si="207"/>
        <v>15.859989195066543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1173538</v>
      </c>
      <c r="M470" s="864">
        <f t="shared" si="210"/>
        <v>0</v>
      </c>
      <c r="N470" s="864">
        <f t="shared" si="210"/>
        <v>186123</v>
      </c>
      <c r="O470" s="864">
        <f t="shared" ca="1" si="207"/>
        <v>15.859989195066543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IFERROR(__xludf.DUMMYFUNCTION("IMPORTRANGE(""https://docs.google.com/spreadsheets/d/1QqKyyYR6Q21VydFLVH3TRQUabQu_ym0Zz7PgGX0-kHA/edit?usp=sharing"",""แผน!FS37"")"),1173538)</f>
        <v>1173538</v>
      </c>
      <c r="M472" s="870">
        <v>0</v>
      </c>
      <c r="N472" s="870">
        <f>N473+N474+N475+N476</f>
        <v>186123</v>
      </c>
      <c r="O472" s="870">
        <f t="shared" ca="1" si="207"/>
        <v>15.859989195066543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121603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f>143000-104840+13000</f>
        <v>51160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13360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IFERROR(__xludf.DUMMYFUNCTION("IMPORTRANGE(""https://docs.google.com/spreadsheets/d/1QqKyyYR6Q21VydFLVH3TRQUabQu_ym0Zz7PgGX0-kHA/edit?usp=sharing"",""แผน!FV37"")"),0)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IFERROR(__xludf.DUMMYFUNCTION("IMPORTRANGE(""https://docs.google.com/spreadsheets/d/1QqKyyYR6Q21VydFLVH3TRQUabQu_ym0Zz7PgGX0-kHA/edit?usp=sharing"",""แผน!FY37"")"),1170)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IFERROR(__xludf.DUMMYFUNCTION("IMPORTRANGE(""https://docs.google.com/spreadsheets/d/1QqKyyYR6Q21VydFLVH3TRQUabQu_ym0Zz7PgGX0-kHA/edit?usp=sharing"",""แผน!FZ37"")"),117)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IFERROR(__xludf.DUMMYFUNCTION("IMPORTRANGE(""https://docs.google.com/spreadsheets/d/1QqKyyYR6Q21VydFLVH3TRQUabQu_ym0Zz7PgGX0-kHA/edit?usp=sharing"",""แผน!GA37"")"),130)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IFERROR(__xludf.DUMMYFUNCTION("IMPORTRANGE(""https://docs.google.com/spreadsheets/d/1QqKyyYR6Q21VydFLVH3TRQUabQu_ym0Zz7PgGX0-kHA/edit?usp=sharing"",""แผน!GB37"")"),13)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IFERROR(__xludf.DUMMYFUNCTION("IMPORTRANGE(""https://docs.google.com/spreadsheets/d/1QqKyyYR6Q21VydFLVH3TRQUabQu_ym0Zz7PgGX0-kHA/edit?usp=sharing"",""แผน!GC37"")"),1)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IFERROR(__xludf.DUMMYFUNCTION("IMPORTRANGE(""https://docs.google.com/spreadsheets/d/1QqKyyYR6Q21VydFLVH3TRQUabQu_ym0Zz7PgGX0-kHA/edit?usp=sharing"",""แผน!FY37"")"),1170)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IFERROR(__xludf.DUMMYFUNCTION("IMPORTRANGE(""https://docs.google.com/spreadsheets/d/1QqKyyYR6Q21VydFLVH3TRQUabQu_ym0Zz7PgGX0-kHA/edit?usp=sharing"",""แผน!GA37"")"),130)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IFERROR(__xludf.DUMMYFUNCTION("IMPORTRANGE(""https://docs.google.com/spreadsheets/d/1QqKyyYR6Q21VydFLVH3TRQUabQu_ym0Zz7PgGX0-kHA/edit?usp=sharing"",""แผน!GQ37"")"),0)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IFERROR(__xludf.DUMMYFUNCTION("IMPORTRANGE(""https://docs.google.com/spreadsheets/d/1QqKyyYR6Q21VydFLVH3TRQUabQu_ym0Zz7PgGX0-kHA/edit?usp=sharing"",""แผน!GT37"")"),0)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IFERROR(__xludf.DUMMYFUNCTION("IMPORTRANGE(""https://docs.google.com/spreadsheets/d/1QqKyyYR6Q21VydFLVH3TRQUabQu_ym0Zz7PgGX0-kHA/edit?usp=sharing"",""แผน!GU37"")"),0)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IFERROR(__xludf.DUMMYFUNCTION("IMPORTRANGE(""https://docs.google.com/spreadsheets/d/1QqKyyYR6Q21VydFLVH3TRQUabQu_ym0Zz7PgGX0-kHA/edit?usp=sharing"",""แผน!GV37"")"),0)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IFERROR(__xludf.DUMMYFUNCTION("IMPORTRANGE(""https://docs.google.com/spreadsheets/d/1QqKyyYR6Q21VydFLVH3TRQUabQu_ym0Zz7PgGX0-kHA/edit?usp=sharing"",""แผน!GW37"")"),0)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IFERROR(__xludf.DUMMYFUNCTION("IMPORTRANGE(""https://docs.google.com/spreadsheets/d/1QqKyyYR6Q21VydFLVH3TRQUabQu_ym0Zz7PgGX0-kHA/edit?usp=sharing"",""แผน!GX37"")"),0)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IFERROR(__xludf.DUMMYFUNCTION("IMPORTRANGE(""https://docs.google.com/spreadsheets/d/1QqKyyYR6Q21VydFLVH3TRQUabQu_ym0Zz7PgGX0-kHA/edit?usp=sharing"",""แผน!GY37"")"),0)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IFERROR(__xludf.DUMMYFUNCTION("IMPORTRANGE(""https://docs.google.com/spreadsheets/d/1QqKyyYR6Q21VydFLVH3TRQUabQu_ym0Zz7PgGX0-kHA/edit?usp=sharing"",""แผน!GZ37"")"),0)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90157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487547</v>
      </c>
      <c r="M544" s="972">
        <f t="shared" si="236"/>
        <v>0</v>
      </c>
      <c r="N544" s="972">
        <f t="shared" si="236"/>
        <v>147156</v>
      </c>
      <c r="O544" s="972">
        <f t="shared" ref="O544:O549" ca="1" si="237">IF(L544&gt;0,N544*100/L544,0)</f>
        <v>30.182936209227009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487547</v>
      </c>
      <c r="M546" s="870">
        <f t="shared" si="240"/>
        <v>0</v>
      </c>
      <c r="N546" s="870">
        <f t="shared" si="240"/>
        <v>147156</v>
      </c>
      <c r="O546" s="870">
        <f t="shared" ca="1" si="237"/>
        <v>30.182936209227009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487547</v>
      </c>
      <c r="M547" s="864">
        <f t="shared" si="241"/>
        <v>0</v>
      </c>
      <c r="N547" s="864">
        <f t="shared" si="241"/>
        <v>147156</v>
      </c>
      <c r="O547" s="864">
        <f t="shared" ca="1" si="237"/>
        <v>30.182936209227009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IFERROR(__xludf.DUMMYFUNCTION("IMPORTRANGE(""https://docs.google.com/spreadsheets/d/1QqKyyYR6Q21VydFLVH3TRQUabQu_ym0Zz7PgGX0-kHA/edit?usp=sharing"",""แผน!HB37"")"),487547)</f>
        <v>487547</v>
      </c>
      <c r="M549" s="870">
        <v>0</v>
      </c>
      <c r="N549" s="870">
        <f>N550+N551+N552+N553+N554</f>
        <v>147156</v>
      </c>
      <c r="O549" s="870">
        <f t="shared" ca="1" si="237"/>
        <v>30.182936209227009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f>12290</f>
        <v>12290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f>143000-104840+13000</f>
        <v>51160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7600+52710+2280+6625+990+2841+2520+2380+5760</f>
        <v>83706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IFERROR(__xludf.DUMMYFUNCTION("IMPORTRANGE(""https://docs.google.com/spreadsheets/d/1QqKyyYR6Q21VydFLVH3TRQUabQu_ym0Zz7PgGX0-kHA/edit?usp=sharing"",""แผน!HF37"")"),0)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90157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IFERROR(__xludf.DUMMYFUNCTION("IMPORTRANGE(""https://docs.google.com/spreadsheets/d/1QqKyyYR6Q21VydFLVH3TRQUabQu_ym0Zz7PgGX0-kHA/edit?usp=sharing"",""แผน!HH37"")"),90157)</f>
        <v>90157</v>
      </c>
      <c r="J560" s="998">
        <f t="shared" ref="J560:J561" si="247">J562+J564+J566</f>
        <v>90157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IFERROR(__xludf.DUMMYFUNCTION("IMPORTRANGE(""https://docs.google.com/spreadsheets/d/1QqKyyYR6Q21VydFLVH3TRQUabQu_ym0Zz7PgGX0-kHA/edit?usp=sharing"",""แผน!HG37"")"),7894)</f>
        <v>7894</v>
      </c>
      <c r="J561" s="998">
        <f t="shared" si="247"/>
        <v>7894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74026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6762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13719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944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2412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188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IFERROR(__xludf.DUMMYFUNCTION("IMPORTRANGE(""https://docs.google.com/spreadsheets/d/1QqKyyYR6Q21VydFLVH3TRQUabQu_ym0Zz7PgGX0-kHA/edit?usp=sharing"",""แผน!HH37"")"),90157)</f>
        <v>90157</v>
      </c>
      <c r="J568" s="999">
        <f t="shared" ref="J568:J569" si="248">J570+J572+J574</f>
        <v>90157</v>
      </c>
      <c r="K568" s="1142">
        <f t="shared" ref="K568:K569" ca="1" si="249">IF(I568&gt;0,J568*100/I568,0)</f>
        <v>100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IFERROR(__xludf.DUMMYFUNCTION("IMPORTRANGE(""https://docs.google.com/spreadsheets/d/1QqKyyYR6Q21VydFLVH3TRQUabQu_ym0Zz7PgGX0-kHA/edit?usp=sharing"",""แผน!HG37"")"),7894)</f>
        <v>7894</v>
      </c>
      <c r="J569" s="999">
        <f t="shared" si="248"/>
        <v>7894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76518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6950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11227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756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2412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188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IFERROR(__xludf.DUMMYFUNCTION("IMPORTRANGE(""https://docs.google.com/spreadsheets/d/1QqKyyYR6Q21VydFLVH3TRQUabQu_ym0Zz7PgGX0-kHA/edit?usp=sharing"",""แผน!HH37"")"),90157)</f>
        <v>90157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IFERROR(__xludf.DUMMYFUNCTION("IMPORTRANGE(""https://docs.google.com/spreadsheets/d/1QqKyyYR6Q21VydFLVH3TRQUabQu_ym0Zz7PgGX0-kHA/edit?usp=sharing"",""แผน!HG37"")"),7894)</f>
        <v>7894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6390.89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IFERROR(__xludf.DUMMYFUNCTION("IMPORTRANGE(""https://docs.google.com/spreadsheets/d/1QqKyyYR6Q21VydFLVH3TRQUabQu_ym0Zz7PgGX0-kHA/edit?usp=sharing"",""แผน!HJ37"")"),6390.89)</f>
        <v>6390.89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IFERROR(__xludf.DUMMYFUNCTION("IMPORTRANGE(""https://docs.google.com/spreadsheets/d/1QqKyyYR6Q21VydFLVH3TRQUabQu_ym0Zz7PgGX0-kHA/edit?usp=sharing"",""แผน!HI37"")"),339)</f>
        <v>339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IFERROR(__xludf.DUMMYFUNCTION("IMPORTRANGE(""https://docs.google.com/spreadsheets/d/1QqKyyYR6Q21VydFLVH3TRQUabQu_ym0Zz7PgGX0-kHA/edit?usp=sharing"",""แผน!HL37"")"),157)</f>
        <v>157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IFERROR(__xludf.DUMMYFUNCTION("IMPORTRANGE(""https://docs.google.com/spreadsheets/d/1QqKyyYR6Q21VydFLVH3TRQUabQu_ym0Zz7PgGX0-kHA/edit?usp=sharing"",""แผน!HK37"")"),9)</f>
        <v>9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100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358310</v>
      </c>
      <c r="M629" s="1000">
        <f t="shared" si="263"/>
        <v>0</v>
      </c>
      <c r="N629" s="1000">
        <f t="shared" si="263"/>
        <v>139910</v>
      </c>
      <c r="O629" s="1000">
        <f t="shared" ref="O629:O634" ca="1" si="264">IF(L629&gt;0,N629*100/L629,0)</f>
        <v>39.047193770757168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358310</v>
      </c>
      <c r="M631" s="870">
        <f t="shared" si="266"/>
        <v>0</v>
      </c>
      <c r="N631" s="870">
        <f t="shared" si="266"/>
        <v>139910</v>
      </c>
      <c r="O631" s="870">
        <f t="shared" ca="1" si="264"/>
        <v>39.047193770757168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358310</v>
      </c>
      <c r="M632" s="864">
        <f t="shared" si="267"/>
        <v>0</v>
      </c>
      <c r="N632" s="864">
        <f t="shared" si="267"/>
        <v>139910</v>
      </c>
      <c r="O632" s="864">
        <f t="shared" ca="1" si="264"/>
        <v>39.047193770757168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IFERROR(__xludf.DUMMYFUNCTION("IMPORTRANGE(""https://docs.google.com/spreadsheets/d/1QqKyyYR6Q21VydFLVH3TRQUabQu_ym0Zz7PgGX0-kHA/edit?usp=sharing"",""แผน!HN37"")"),358310)</f>
        <v>358310</v>
      </c>
      <c r="M634" s="870">
        <v>0</v>
      </c>
      <c r="N634" s="870">
        <f>N635+N636+N637+N638</f>
        <v>139910</v>
      </c>
      <c r="O634" s="870">
        <f t="shared" ca="1" si="264"/>
        <v>39.047193770757168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f>1320+15000</f>
        <v>16320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f>36900+13000</f>
        <v>49900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26000+5280+13160+29250</f>
        <v>73690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IFERROR(__xludf.DUMMYFUNCTION("IMPORTRANGE(""https://docs.google.com/spreadsheets/d/1QqKyyYR6Q21VydFLVH3TRQUabQu_ym0Zz7PgGX0-kHA/edit?usp=sharing"",""แผน!HQ37"")"),0)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IFERROR(__xludf.DUMMYFUNCTION("IMPORTRANGE(""https://docs.google.com/spreadsheets/d/1QqKyyYR6Q21VydFLVH3TRQUabQu_ym0Zz7PgGX0-kHA/edit?usp=sharing"",""แผน!HR37"")"),0)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IFERROR(__xludf.DUMMYFUNCTION("IMPORTRANGE(""https://docs.google.com/spreadsheets/d/1QqKyyYR6Q21VydFLVH3TRQUabQu_ym0Zz7PgGX0-kHA/edit?usp=sharing"",""แผน!HR37"")"),0)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IFERROR(__xludf.DUMMYFUNCTION("IMPORTRANGE(""https://docs.google.com/spreadsheets/d/1XWAQStnk-4SwqDmLtmXYiTMKHgktTP8We1SCoS47DrQ/edit?usp=sharing"",""จัดที่ดิน!AS37"")"),89)</f>
        <v>89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IFERROR(__xludf.DUMMYFUNCTION("IMPORTRANGE(""https://docs.google.com/spreadsheets/d/1XWAQStnk-4SwqDmLtmXYiTMKHgktTP8We1SCoS47DrQ/edit?usp=sharing"",""จัดที่ดิน!AT37"")"),43.22)</f>
        <v>43.22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IFERROR(__xludf.DUMMYFUNCTION("IMPORTRANGE(""https://docs.google.com/spreadsheets/d/1QqKyyYR6Q21VydFLVH3TRQUabQu_ym0Zz7PgGX0-kHA/edit?usp=sharing"",""แผน!HS37"")"),100)</f>
        <v>100</v>
      </c>
      <c r="J647" s="863">
        <f ca="1">IFERROR(__xludf.DUMMYFUNCTION("IMPORTRANGE(""https://docs.google.com/spreadsheets/d/1XWAQStnk-4SwqDmLtmXYiTMKHgktTP8We1SCoS47DrQ/edit?usp=sharing"",""จัดที่ดิน!AU37"")"),52)</f>
        <v>52</v>
      </c>
      <c r="K647" s="978">
        <f t="shared" ca="1" si="271"/>
        <v>52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IFERROR(__xludf.DUMMYFUNCTION("IMPORTRANGE(""https://docs.google.com/spreadsheets/d/1XWAQStnk-4SwqDmLtmXYiTMKHgktTP8We1SCoS47DrQ/edit?usp=sharing"",""จัดที่ดิน!AV37"")"),32.57)</f>
        <v>32.57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IFERROR(__xludf.DUMMYFUNCTION("IMPORTRANGE(""https://docs.google.com/spreadsheets/d/1QqKyyYR6Q21VydFLVH3TRQUabQu_ym0Zz7PgGX0-kHA/edit?usp=sharing"",""แผน!HS37"")"),100)</f>
        <v>100</v>
      </c>
      <c r="J649" s="863">
        <f ca="1">IFERROR(__xludf.DUMMYFUNCTION("IMPORTRANGE(""https://docs.google.com/spreadsheets/d/1XWAQStnk-4SwqDmLtmXYiTMKHgktTP8We1SCoS47DrQ/edit?usp=sharing"",""จัดที่ดิน!AW37"")"),46)</f>
        <v>46</v>
      </c>
      <c r="K649" s="978">
        <f t="shared" ca="1" si="271"/>
        <v>46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IFERROR(__xludf.DUMMYFUNCTION("IMPORTRANGE(""https://docs.google.com/spreadsheets/d/1XWAQStnk-4SwqDmLtmXYiTMKHgktTP8We1SCoS47DrQ/edit?usp=sharing"",""จัดที่ดิน!AX37"")"),26.88)</f>
        <v>26.88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IFERROR(__xludf.DUMMYFUNCTION("IMPORTRANGE(""https://docs.google.com/spreadsheets/d/1QqKyyYR6Q21VydFLVH3TRQUabQu_ym0Zz7PgGX0-kHA/edit?usp=sharing"",""แผน!HS37"")"),100)</f>
        <v>100</v>
      </c>
      <c r="J651" s="863">
        <f ca="1">IFERROR(__xludf.DUMMYFUNCTION("IMPORTRANGE(""https://docs.google.com/spreadsheets/d/1XWAQStnk-4SwqDmLtmXYiTMKHgktTP8We1SCoS47DrQ/edit?usp=sharing"",""จัดที่ดิน!AY37"")"),0)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IFERROR(__xludf.DUMMYFUNCTION("IMPORTRANGE(""https://docs.google.com/spreadsheets/d/1XWAQStnk-4SwqDmLtmXYiTMKHgktTP8We1SCoS47DrQ/edit?usp=sharing"",""จัดที่ดิน!AZ37"")"),0)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 hidden="1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IFERROR(__xludf.DUMMYFUNCTION("IMPORTRANGE(""https://docs.google.com/spreadsheets/d/1QqKyyYR6Q21VydFLVH3TRQUabQu_ym0Zz7PgGX0-kHA/edit?usp=sharing"",""แผน!HV37"")"),0)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IFERROR(__xludf.DUMMYFUNCTION("IMPORTRANGE(""https://docs.google.com/spreadsheets/d/1QqKyyYR6Q21VydFLVH3TRQUabQu_ym0Zz7PgGX0-kHA/edit?usp=sharing"",""แผน!IA37"")"),0)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IFERROR(__xludf.DUMMYFUNCTION("IMPORTRANGE(""https://docs.google.com/spreadsheets/d/1QqKyyYR6Q21VydFLVH3TRQUabQu_ym0Zz7PgGX0-kHA/edit?usp=sharing"",""แผน!HZ37"")"),0)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IFERROR(__xludf.DUMMYFUNCTION("IMPORTRANGE(""https://docs.google.com/spreadsheets/d/1QqKyyYR6Q21VydFLVH3TRQUabQu_ym0Zz7PgGX0-kHA/edit?usp=sharing"",""แผน!HZ37"")"),0)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IFERROR(__xludf.DUMMYFUNCTION("IMPORTRANGE(""https://docs.google.com/spreadsheets/d/1QqKyyYR6Q21VydFLVH3TRQUabQu_ym0Zz7PgGX0-kHA/edit?usp=sharing"",""แผน!IB37"")"),0)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 hidden="1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 hidden="1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 hidden="1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IFERROR(__xludf.DUMMYFUNCTION("IMPORTRANGE(""https://docs.google.com/spreadsheets/d/1QqKyyYR6Q21VydFLVH3TRQUabQu_ym0Zz7PgGX0-kHA/edit?usp=sharing"",""แผน!HW37"")"),0)</f>
        <v>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 hidden="1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 hidden="1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 hidden="1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 hidden="1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 hidden="1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 hidden="1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 hidden="1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IFERROR(__xludf.DUMMYFUNCTION("IMPORTRANGE(""https://docs.google.com/spreadsheets/d/1QqKyyYR6Q21VydFLVH3TRQUabQu_ym0Zz7PgGX0-kHA/edit?usp=sharing"",""แผน!IC37"")"),0)</f>
        <v>0</v>
      </c>
      <c r="J699" s="863">
        <f ca="1">IFERROR(__xludf.DUMMYFUNCTION("IMPORTRANGE(""https://docs.google.com/spreadsheets/d/1XWAQStnk-4SwqDmLtmXYiTMKHgktTP8We1SCoS47DrQ/edit?usp=sharing"",""จัดที่ดิน!BB37"")"),0)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 hidden="1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IFERROR(__xludf.DUMMYFUNCTION("IMPORTRANGE(""https://docs.google.com/spreadsheets/d/1QqKyyYR6Q21VydFLVH3TRQUabQu_ym0Zz7PgGX0-kHA/edit?usp=sharing"",""แผน!ID37"")"),0)</f>
        <v>0</v>
      </c>
      <c r="J700" s="863">
        <f ca="1">IFERROR(__xludf.DUMMYFUNCTION("IMPORTRANGE(""https://docs.google.com/spreadsheets/d/1XWAQStnk-4SwqDmLtmXYiTMKHgktTP8We1SCoS47DrQ/edit?usp=sharing"",""จัดที่ดิน!BD37"")"),0)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IFERROR(__xludf.DUMMYFUNCTION("IMPORTRANGE(""https://docs.google.com/spreadsheets/d/1QqKyyYR6Q21VydFLVH3TRQUabQu_ym0Zz7PgGX0-kHA/edit?usp=sharing"",""แผน!IE37"")"),0)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IFERROR(__xludf.DUMMYFUNCTION("IMPORTRANGE(""https://docs.google.com/spreadsheets/d/1QqKyyYR6Q21VydFLVH3TRQUabQu_ym0Zz7PgGX0-kHA/edit?usp=sharing"",""แผน!IF37"")"),0)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IFERROR(__xludf.DUMMYFUNCTION("IMPORTRANGE(""https://docs.google.com/spreadsheets/d/1QqKyyYR6Q21VydFLVH3TRQUabQu_ym0Zz7PgGX0-kHA/edit?usp=sharing"",""แผน!IG37"")"),0)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IFERROR(__xludf.DUMMYFUNCTION("IMPORTRANGE(""https://docs.google.com/spreadsheets/d/1QqKyyYR6Q21VydFLVH3TRQUabQu_ym0Zz7PgGX0-kHA/edit?usp=sharing"",""แผน!IH37"")"),0)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IFERROR(__xludf.DUMMYFUNCTION("IMPORTRANGE(""https://docs.google.com/spreadsheets/d/1XWAQStnk-4SwqDmLtmXYiTMKHgktTP8We1SCoS47DrQ/edit?usp=sharing"",""จัดที่ดิน!BF37"")"),0)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IFERROR(__xludf.DUMMYFUNCTION("IMPORTRANGE(""https://docs.google.com/spreadsheets/d/1XWAQStnk-4SwqDmLtmXYiTMKHgktTP8We1SCoS47DrQ/edit?usp=sharing"",""จัดที่ดิน!BG37"")"),0)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IFERROR(__xludf.DUMMYFUNCTION("IMPORTRANGE(""https://docs.google.com/spreadsheets/d/1QqKyyYR6Q21VydFLVH3TRQUabQu_ym0Zz7PgGX0-kHA/edit?usp=sharing"",""แผน!II37"")"),0)</f>
        <v>0</v>
      </c>
      <c r="J720" s="863">
        <f ca="1">IFERROR(__xludf.DUMMYFUNCTION("IMPORTRANGE(""https://docs.google.com/spreadsheets/d/1XWAQStnk-4SwqDmLtmXYiTMKHgktTP8We1SCoS47DrQ/edit?usp=sharing"",""จัดที่ดิน!BH37"")"),0)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IFERROR(__xludf.DUMMYFUNCTION("IMPORTRANGE(""https://docs.google.com/spreadsheets/d/1QqKyyYR6Q21VydFLVH3TRQUabQu_ym0Zz7PgGX0-kHA/edit?usp=sharing"",""แผน!IJ37"")"),0)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IFERROR(__xludf.DUMMYFUNCTION("IMPORTRANGE(""https://docs.google.com/spreadsheets/d/1QqKyyYR6Q21VydFLVH3TRQUabQu_ym0Zz7PgGX0-kHA/edit?usp=sharing"",""แผน!IK37"")"),0)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IFERROR(__xludf.DUMMYFUNCTION("IMPORTRANGE(""https://docs.google.com/spreadsheets/d/1QqKyyYR6Q21VydFLVH3TRQUabQu_ym0Zz7PgGX0-kHA/edit?usp=sharing"",""แผน!IL37"")"),0)</f>
        <v>0</v>
      </c>
      <c r="J723" s="863">
        <f ca="1">IFERROR(__xludf.DUMMYFUNCTION("IMPORTRANGE(""https://docs.google.com/spreadsheets/d/1XWAQStnk-4SwqDmLtmXYiTMKHgktTP8We1SCoS47DrQ/edit?usp=sharing"",""จัดที่ดิน!BM37"")"),0)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IFERROR(__xludf.DUMMYFUNCTION("IMPORTRANGE(""https://docs.google.com/spreadsheets/d/1XWAQStnk-4SwqDmLtmXYiTMKHgktTP8We1SCoS47DrQ/edit?usp=sharing"",""จัดที่ดิน!BN37"")"),0)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IFERROR(__xludf.DUMMYFUNCTION("IMPORTRANGE(""https://docs.google.com/spreadsheets/d/1QqKyyYR6Q21VydFLVH3TRQUabQu_ym0Zz7PgGX0-kHA/edit?usp=sharing"",""แผน!IM37"")"),0)</f>
        <v>0</v>
      </c>
      <c r="J725" s="863">
        <f ca="1">IFERROR(__xludf.DUMMYFUNCTION("IMPORTRANGE(""https://docs.google.com/spreadsheets/d/1XWAQStnk-4SwqDmLtmXYiTMKHgktTP8We1SCoS47DrQ/edit?usp=sharing"",""จัดที่ดิน!BO37"")"),0)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IFERROR(__xludf.DUMMYFUNCTION("IMPORTRANGE(""https://docs.google.com/spreadsheets/d/1QqKyyYR6Q21VydFLVH3TRQUabQu_ym0Zz7PgGX0-kHA/edit?usp=sharing"",""แผน!IN37"")"),0)</f>
        <v>0</v>
      </c>
      <c r="J726" s="863">
        <f ca="1">IFERROR(__xludf.DUMMYFUNCTION("IMPORTRANGE(""https://docs.google.com/spreadsheets/d/1XWAQStnk-4SwqDmLtmXYiTMKHgktTP8We1SCoS47DrQ/edit?usp=sharing"",""จัดที่ดิน!BR37"")"),0)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IFERROR(__xludf.DUMMYFUNCTION("IMPORTRANGE(""https://docs.google.com/spreadsheets/d/1XWAQStnk-4SwqDmLtmXYiTMKHgktTP8We1SCoS47DrQ/edit?usp=sharing"",""จัดที่ดิน!BS37"")"),0)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IFERROR(__xludf.DUMMYFUNCTION("IMPORTRANGE(""https://docs.google.com/spreadsheets/d/1QqKyyYR6Q21VydFLVH3TRQUabQu_ym0Zz7PgGX0-kHA/edit?usp=sharing"",""แผน!IO37"")"),0)</f>
        <v>0</v>
      </c>
      <c r="J728" s="863">
        <f ca="1">IFERROR(__xludf.DUMMYFUNCTION("IMPORTRANGE(""https://docs.google.com/spreadsheets/d/1XWAQStnk-4SwqDmLtmXYiTMKHgktTP8We1SCoS47DrQ/edit?usp=sharing"",""จัดที่ดิน!BT37"")"),0)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IFERROR(__xludf.DUMMYFUNCTION("IMPORTRANGE(""https://docs.google.com/spreadsheets/d/1QqKyyYR6Q21VydFLVH3TRQUabQu_ym0Zz7PgGX0-kHA/edit?usp=sharing"",""แผน!IP37"")"),0)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3000</v>
      </c>
      <c r="J785" s="800">
        <f t="shared" ca="1" si="318"/>
        <v>0</v>
      </c>
      <c r="K785" s="801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213920</v>
      </c>
      <c r="M786" s="1000">
        <f t="shared" si="319"/>
        <v>0</v>
      </c>
      <c r="N786" s="1000">
        <f t="shared" si="319"/>
        <v>12000</v>
      </c>
      <c r="O786" s="1000">
        <f t="shared" ref="O786:O791" ca="1" si="320">IF(L786&gt;0,N786*100/L786,0)</f>
        <v>5.6095736724008978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213920</v>
      </c>
      <c r="M788" s="870">
        <f t="shared" si="322"/>
        <v>0</v>
      </c>
      <c r="N788" s="870">
        <f t="shared" si="322"/>
        <v>12000</v>
      </c>
      <c r="O788" s="870">
        <f t="shared" ca="1" si="320"/>
        <v>5.6095736724008978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213920</v>
      </c>
      <c r="M789" s="864">
        <f t="shared" si="323"/>
        <v>0</v>
      </c>
      <c r="N789" s="864">
        <f t="shared" si="323"/>
        <v>12000</v>
      </c>
      <c r="O789" s="864">
        <f t="shared" ca="1" si="320"/>
        <v>5.6095736724008978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IFERROR(__xludf.DUMMYFUNCTION("IMPORTRANGE(""https://docs.google.com/spreadsheets/d/1QqKyyYR6Q21VydFLVH3TRQUabQu_ym0Zz7PgGX0-kHA/edit?usp=sharing"",""แผน!JJ37"")"),213920)</f>
        <v>213920</v>
      </c>
      <c r="M791" s="870">
        <v>0</v>
      </c>
      <c r="N791" s="870">
        <f>N792+N793+N794+N795</f>
        <v>12000</v>
      </c>
      <c r="O791" s="870">
        <f t="shared" ca="1" si="320"/>
        <v>5.6095736724008978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f>12000</f>
        <v>12000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IFERROR(__xludf.DUMMYFUNCTION("IMPORTRANGE(""https://docs.google.com/spreadsheets/d/1MaWodYyGHDf7siQLGxnXhG4mBNTNIuy296niS2xXulU/edit?usp=sharing"",""RTK!H37"")"),0)</f>
        <v>0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IFERROR(__xludf.DUMMYFUNCTION("IMPORTRANGE(""https://docs.google.com/spreadsheets/d/1MaWodYyGHDf7siQLGxnXhG4mBNTNIuy296niS2xXulU/edit?usp=sharing"",""RTK!G37"")"),3000)</f>
        <v>3000</v>
      </c>
      <c r="J801" s="815">
        <f ca="1">IFERROR(__xludf.DUMMYFUNCTION("IMPORTRANGE(""https://docs.google.com/spreadsheets/d/1MaWodYyGHDf7siQLGxnXhG4mBNTNIuy296niS2xXulU/edit?usp=sharing"",""RTK!I37"")"),0)</f>
        <v>0</v>
      </c>
      <c r="K801" s="816">
        <f ca="1">IF(I801&gt;0,J801*100/I801,0)</f>
        <v>0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IFERROR(__xludf.DUMMYFUNCTION("IMPORTRANGE(""https://docs.google.com/spreadsheets/d/1MaWodYyGHDf7siQLGxnXhG4mBNTNIuy296niS2xXulU/edit?usp=sharing"",""RTK!L37"")"),0)</f>
        <v>0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IFERROR(__xludf.DUMMYFUNCTION("IMPORTRANGE(""https://docs.google.com/spreadsheets/d/1MaWodYyGHDf7siQLGxnXhG4mBNTNIuy296niS2xXulU/edit?usp=sharing"",""RTK!K37"")"),0)</f>
        <v>0</v>
      </c>
      <c r="J803" s="815">
        <f ca="1">IFERROR(__xludf.DUMMYFUNCTION("IMPORTRANGE(""https://docs.google.com/spreadsheets/d/1MaWodYyGHDf7siQLGxnXhG4mBNTNIuy296niS2xXulU/edit?usp=sharing"",""RTK!M37"")"),0)</f>
        <v>0</v>
      </c>
      <c r="K803" s="816">
        <f t="shared" ref="K803:K804" ca="1" si="327">IF(I803&gt;0,J803*100/I803,0)</f>
        <v>0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863">
        <f ca="1">IFERROR(__xludf.DUMMYFUNCTION("IMPORTRANGE(""https://docs.google.com/spreadsheets/d/19vJNZY_5yjcGF2XGBMNZRCAIB0Kwfpjp8YEOfu-bneM/edit?usp=sharing"",""งานกองทุน!F37"")"),417990.78)</f>
        <v>417990.78</v>
      </c>
      <c r="K821" s="864">
        <f t="shared" ref="K821:K828" ca="1" si="336">IF(I821&gt;0,J821*100/I821,0)</f>
        <v>10.11793517202992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IFERROR(__xludf.DUMMYFUNCTION("IMPORTRANGE(""https://docs.google.com/spreadsheets/d/19vJNZY_5yjcGF2XGBMNZRCAIB0Kwfpjp8YEOfu-bneM/edit?usp=sharing"",""งานกองทุน!C37"")"),278)</f>
        <v>278</v>
      </c>
      <c r="J822" s="863">
        <f ca="1">IFERROR(__xludf.DUMMYFUNCTION("IMPORTRANGE(""https://docs.google.com/spreadsheets/d/19vJNZY_5yjcGF2XGBMNZRCAIB0Kwfpjp8YEOfu-bneM/edit?usp=sharing"",""งานกองทุน!E37"")"),29)</f>
        <v>29</v>
      </c>
      <c r="K822" s="864">
        <f t="shared" ca="1" si="336"/>
        <v>10.431654676258994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863">
        <f ca="1">IFERROR(__xludf.DUMMYFUNCTION("IMPORTRANGE(""https://docs.google.com/spreadsheets/d/19vJNZY_5yjcGF2XGBMNZRCAIB0Kwfpjp8YEOfu-bneM/edit?usp=sharing"",""งานกองทุน!K37"")"),125498.81)</f>
        <v>125498.81</v>
      </c>
      <c r="K823" s="864">
        <f t="shared" ca="1" si="336"/>
        <v>11.587809918337852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IFERROR(__xludf.DUMMYFUNCTION("IMPORTRANGE(""https://docs.google.com/spreadsheets/d/19vJNZY_5yjcGF2XGBMNZRCAIB0Kwfpjp8YEOfu-bneM/edit?usp=sharing"",""งานกองทุน!H37"")"),55)</f>
        <v>55</v>
      </c>
      <c r="J824" s="863">
        <f ca="1">IFERROR(__xludf.DUMMYFUNCTION("IMPORTRANGE(""https://docs.google.com/spreadsheets/d/19vJNZY_5yjcGF2XGBMNZRCAIB0Kwfpjp8YEOfu-bneM/edit?usp=sharing"",""งานกองทุน!J37"")"),24)</f>
        <v>24</v>
      </c>
      <c r="K824" s="864">
        <f t="shared" ca="1" si="336"/>
        <v>43.636363636363633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IFERROR(__xludf.DUMMYFUNCTION("IMPORTRANGE(""https://docs.google.com/spreadsheets/d/19vJNZY_5yjcGF2XGBMNZRCAIB0Kwfpjp8YEOfu-bneM/edit?usp=sharing"",""งานกองทุน!N37"")"),5947.5)</f>
        <v>5947.5</v>
      </c>
      <c r="J825" s="863">
        <f ca="1">IFERROR(__xludf.DUMMYFUNCTION("IMPORTRANGE(""https://docs.google.com/spreadsheets/d/19vJNZY_5yjcGF2XGBMNZRCAIB0Kwfpjp8YEOfu-bneM/edit?usp=sharing"",""งานกองทุน!P37"")"),0)</f>
        <v>0</v>
      </c>
      <c r="K825" s="864">
        <f t="shared" ca="1" si="336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IFERROR(__xludf.DUMMYFUNCTION("IMPORTRANGE(""https://docs.google.com/spreadsheets/d/19vJNZY_5yjcGF2XGBMNZRCAIB0Kwfpjp8YEOfu-bneM/edit?usp=sharing"",""งานกองทุน!M37"")"),2)</f>
        <v>2</v>
      </c>
      <c r="J826" s="863">
        <f ca="1">IFERROR(__xludf.DUMMYFUNCTION("IMPORTRANGE(""https://docs.google.com/spreadsheets/d/19vJNZY_5yjcGF2XGBMNZRCAIB0Kwfpjp8YEOfu-bneM/edit?usp=sharing"",""งานกองทุน!O37"")"),0)</f>
        <v>0</v>
      </c>
      <c r="K826" s="864">
        <f t="shared" ca="1" si="336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IFERROR(__xludf.DUMMYFUNCTION("IMPORTRANGE(""https://docs.google.com/spreadsheets/d/19vJNZY_5yjcGF2XGBMNZRCAIB0Kwfpjp8YEOfu-bneM/edit?usp=sharing"",""งานกองทุน!S37"")"),2800000)</f>
        <v>2800000</v>
      </c>
      <c r="J827" s="863">
        <f ca="1">IFERROR(__xludf.DUMMYFUNCTION("IMPORTRANGE(""https://docs.google.com/spreadsheets/d/19vJNZY_5yjcGF2XGBMNZRCAIB0Kwfpjp8YEOfu-bneM/edit?usp=sharing"",""งานกองทุน!U37"")"),0)</f>
        <v>0</v>
      </c>
      <c r="K827" s="864">
        <f t="shared" ca="1" si="336"/>
        <v>0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IFERROR(__xludf.DUMMYFUNCTION("IMPORTRANGE(""https://docs.google.com/spreadsheets/d/19vJNZY_5yjcGF2XGBMNZRCAIB0Kwfpjp8YEOfu-bneM/edit?usp=sharing"",""งานกองทุน!R37"")"),112)</f>
        <v>112</v>
      </c>
      <c r="J828" s="1117">
        <f ca="1">IFERROR(__xludf.DUMMYFUNCTION("IMPORTRANGE(""https://docs.google.com/spreadsheets/d/19vJNZY_5yjcGF2XGBMNZRCAIB0Kwfpjp8YEOfu-bneM/edit?usp=sharing"",""งานกองทุน!T37"")"),0)</f>
        <v>0</v>
      </c>
      <c r="K828" s="1215">
        <f t="shared" ca="1" si="336"/>
        <v>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BBC7-5C63-4475-8B47-F4DA365941E5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342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7753735</v>
      </c>
      <c r="M8" s="850">
        <f t="shared" ca="1" si="0"/>
        <v>3823212</v>
      </c>
      <c r="N8" s="850">
        <f t="shared" ca="1" si="0"/>
        <v>2964266.5600000005</v>
      </c>
      <c r="O8" s="850">
        <f t="shared" ref="O8:O16" ca="1" si="1">IF(L8&gt;0,N8*100/L8,0)</f>
        <v>38.230176295682021</v>
      </c>
      <c r="P8" s="850">
        <f t="shared" ref="P8:P16" ca="1" si="2">IF(M8&gt;0,N8*100/M8,0)</f>
        <v>77.533408034919347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7753735</v>
      </c>
      <c r="M10" s="857">
        <f t="shared" ca="1" si="3"/>
        <v>3823212</v>
      </c>
      <c r="N10" s="857">
        <f t="shared" ca="1" si="3"/>
        <v>2964266.5600000005</v>
      </c>
      <c r="O10" s="857">
        <f t="shared" ca="1" si="1"/>
        <v>38.230176295682021</v>
      </c>
      <c r="P10" s="857">
        <f t="shared" ca="1" si="2"/>
        <v>77.533408034919347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7639935</v>
      </c>
      <c r="M11" s="864">
        <f t="shared" ca="1" si="4"/>
        <v>3709412</v>
      </c>
      <c r="N11" s="864">
        <f t="shared" ca="1" si="4"/>
        <v>2850466.5600000005</v>
      </c>
      <c r="O11" s="864">
        <f t="shared" ca="1" si="1"/>
        <v>37.310089156517698</v>
      </c>
      <c r="P11" s="864">
        <f t="shared" ca="1" si="2"/>
        <v>76.844161824030351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7639935</v>
      </c>
      <c r="M13" s="870">
        <f t="shared" ca="1" si="5"/>
        <v>3709412</v>
      </c>
      <c r="N13" s="870">
        <f t="shared" ca="1" si="5"/>
        <v>2850466.5600000005</v>
      </c>
      <c r="O13" s="870">
        <f t="shared" ca="1" si="1"/>
        <v>37.310089156517698</v>
      </c>
      <c r="P13" s="870">
        <f t="shared" ca="1" si="2"/>
        <v>76.844161824030351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113800</v>
      </c>
      <c r="M14" s="864">
        <f t="shared" ca="1" si="6"/>
        <v>113800</v>
      </c>
      <c r="N14" s="864">
        <f t="shared" ca="1" si="6"/>
        <v>113800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113800</v>
      </c>
      <c r="M16" s="876">
        <f t="shared" ca="1" si="7"/>
        <v>113800</v>
      </c>
      <c r="N16" s="876">
        <f t="shared" ca="1" si="7"/>
        <v>113800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4659702</v>
      </c>
      <c r="M18" s="850">
        <f t="shared" ca="1" si="8"/>
        <v>3823212</v>
      </c>
      <c r="N18" s="850">
        <f t="shared" ca="1" si="8"/>
        <v>2291864.8600000003</v>
      </c>
      <c r="O18" s="850">
        <f t="shared" ref="O18:O26" ca="1" si="9">IF(L18&gt;0,N18*100/L18,0)</f>
        <v>49.184794649958306</v>
      </c>
      <c r="P18" s="850">
        <f t="shared" ref="P18:P26" ca="1" si="10">IF(M18&gt;0,N18*100/M18,0)</f>
        <v>59.946057398857306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4659702</v>
      </c>
      <c r="M20" s="857">
        <f t="shared" ca="1" si="11"/>
        <v>3823212</v>
      </c>
      <c r="N20" s="857">
        <f t="shared" ca="1" si="11"/>
        <v>2291864.8600000003</v>
      </c>
      <c r="O20" s="857">
        <f t="shared" ca="1" si="9"/>
        <v>49.184794649958306</v>
      </c>
      <c r="P20" s="857">
        <f t="shared" ca="1" si="10"/>
        <v>59.946057398857306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4545902</v>
      </c>
      <c r="M21" s="864">
        <f t="shared" ca="1" si="12"/>
        <v>3709412</v>
      </c>
      <c r="N21" s="864">
        <f t="shared" ca="1" si="12"/>
        <v>2178064.8600000003</v>
      </c>
      <c r="O21" s="864">
        <f t="shared" ca="1" si="9"/>
        <v>47.912710392788938</v>
      </c>
      <c r="P21" s="864">
        <f t="shared" ca="1" si="10"/>
        <v>58.71725383969212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4545902</v>
      </c>
      <c r="M23" s="870">
        <f t="shared" ca="1" si="13"/>
        <v>3709412</v>
      </c>
      <c r="N23" s="870">
        <f t="shared" ca="1" si="13"/>
        <v>2178064.8600000003</v>
      </c>
      <c r="O23" s="870">
        <f t="shared" ca="1" si="9"/>
        <v>47.912710392788938</v>
      </c>
      <c r="P23" s="870">
        <f t="shared" ca="1" si="10"/>
        <v>58.71725383969212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113800</v>
      </c>
      <c r="M24" s="864">
        <f t="shared" ca="1" si="14"/>
        <v>113800</v>
      </c>
      <c r="N24" s="864">
        <f t="shared" ca="1" si="14"/>
        <v>113800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113800</v>
      </c>
      <c r="M26" s="876">
        <f t="shared" ca="1" si="15"/>
        <v>113800</v>
      </c>
      <c r="N26" s="876">
        <f t="shared" ca="1" si="15"/>
        <v>113800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3094033</v>
      </c>
      <c r="M28" s="850">
        <f t="shared" si="16"/>
        <v>0</v>
      </c>
      <c r="N28" s="850">
        <f t="shared" si="16"/>
        <v>672401.7</v>
      </c>
      <c r="O28" s="850">
        <f t="shared" ref="O28:O37" ca="1" si="17">IF(L28&gt;0,N28*100/L28,0)</f>
        <v>21.732208415359501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3094033</v>
      </c>
      <c r="M30" s="857">
        <f t="shared" si="19"/>
        <v>0</v>
      </c>
      <c r="N30" s="857">
        <f t="shared" si="19"/>
        <v>672401.7</v>
      </c>
      <c r="O30" s="857">
        <f t="shared" ca="1" si="17"/>
        <v>21.732208415359501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3094033</v>
      </c>
      <c r="M31" s="864">
        <f t="shared" si="20"/>
        <v>0</v>
      </c>
      <c r="N31" s="864">
        <f t="shared" si="20"/>
        <v>672401.7</v>
      </c>
      <c r="O31" s="864">
        <f t="shared" ca="1" si="17"/>
        <v>21.732208415359501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3094033</v>
      </c>
      <c r="M33" s="870">
        <f t="shared" si="21"/>
        <v>0</v>
      </c>
      <c r="N33" s="870">
        <f t="shared" si="21"/>
        <v>672401.7</v>
      </c>
      <c r="O33" s="870">
        <f t="shared" ca="1" si="17"/>
        <v>21.732208415359501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4659702</v>
      </c>
      <c r="M37" s="883">
        <f t="shared" ca="1" si="24"/>
        <v>3823212</v>
      </c>
      <c r="N37" s="883">
        <f t="shared" ca="1" si="24"/>
        <v>2291864.8600000003</v>
      </c>
      <c r="O37" s="883">
        <f t="shared" ca="1" si="17"/>
        <v>49.184794649958306</v>
      </c>
      <c r="P37" s="883">
        <f t="shared" ca="1" si="18"/>
        <v>59.946057398857306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786592</v>
      </c>
      <c r="M41" s="908">
        <f t="shared" ca="1" si="25"/>
        <v>793567</v>
      </c>
      <c r="N41" s="908">
        <f t="shared" ca="1" si="25"/>
        <v>384782.23</v>
      </c>
      <c r="O41" s="908">
        <f t="shared" ref="O41:O49" ca="1" si="26">IF(L41&gt;0,N41*100/L41,0)</f>
        <v>48.917638369065536</v>
      </c>
      <c r="P41" s="908">
        <f t="shared" ref="P41:P49" ca="1" si="27">IF(M41&gt;0,N41*100/M41,0)</f>
        <v>48.487680309287057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786592</v>
      </c>
      <c r="M43" s="914">
        <f t="shared" ca="1" si="28"/>
        <v>793567</v>
      </c>
      <c r="N43" s="914">
        <f t="shared" ca="1" si="28"/>
        <v>384782.23</v>
      </c>
      <c r="O43" s="914">
        <f t="shared" ca="1" si="26"/>
        <v>48.917638369065536</v>
      </c>
      <c r="P43" s="914">
        <f t="shared" ca="1" si="27"/>
        <v>48.487680309287057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786592</v>
      </c>
      <c r="M44" s="864">
        <f t="shared" ca="1" si="29"/>
        <v>793567</v>
      </c>
      <c r="N44" s="864">
        <f t="shared" ca="1" si="29"/>
        <v>384782.23</v>
      </c>
      <c r="O44" s="864">
        <f t="shared" ca="1" si="26"/>
        <v>48.917638369065536</v>
      </c>
      <c r="P44" s="864">
        <f t="shared" ca="1" si="27"/>
        <v>48.487680309287057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IFERROR(__xludf.DUMMYFUNCTION("IMPORTRANGE(""https://docs.google.com/spreadsheets/d/1MeEWN-I1oV_STSDYn1IFDPWt_1FKiwhDph83XaGc0o0/edit?usp=sharing"",""งบพรบ!M38"")"),786592)</f>
        <v>786592</v>
      </c>
      <c r="M46" s="870">
        <f ca="1">IFERROR(__xludf.DUMMYFUNCTION("IMPORTRANGE(""https://docs.google.com/spreadsheets/d/1MeEWN-I1oV_STSDYn1IFDPWt_1FKiwhDph83XaGc0o0/edit?usp=sharing"",""งบพรบ!R38"")"),793567)</f>
        <v>793567</v>
      </c>
      <c r="N46" s="870">
        <f ca="1">IFERROR(__xludf.DUMMYFUNCTION("IMPORTRANGE(""https://docs.google.com/spreadsheets/d/1MeEWN-I1oV_STSDYn1IFDPWt_1FKiwhDph83XaGc0o0/edit?usp=sharing"",""งบพรบ!T38"")"),384782.23)</f>
        <v>384782.23</v>
      </c>
      <c r="O46" s="870">
        <f t="shared" ca="1" si="26"/>
        <v>48.917638369065536</v>
      </c>
      <c r="P46" s="870">
        <f t="shared" ca="1" si="27"/>
        <v>48.487680309287057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IFERROR(__xludf.DUMMYFUNCTION("IMPORTRANGE(""https://docs.google.com/spreadsheets/d/1MeEWN-I1oV_STSDYn1IFDPWt_1FKiwhDph83XaGc0o0/edit?usp=sharing"",""งบพรบ!P38"")"),0)</f>
        <v>0</v>
      </c>
      <c r="M49" s="876">
        <f ca="1">IFERROR(__xludf.DUMMYFUNCTION("IMPORTRANGE(""https://docs.google.com/spreadsheets/d/1MeEWN-I1oV_STSDYn1IFDPWt_1FKiwhDph83XaGc0o0/edit?usp=sharing"",""งบพรบ!S38"")"),0)</f>
        <v>0</v>
      </c>
      <c r="N49" s="876">
        <f ca="1">IFERROR(__xludf.DUMMYFUNCTION("IMPORTRANGE(""https://docs.google.com/spreadsheets/d/1MeEWN-I1oV_STSDYn1IFDPWt_1FKiwhDph83XaGc0o0/edit?usp=sharing"",""งบพรบ!U38"")"),0)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726300</v>
      </c>
      <c r="M53" s="936">
        <f t="shared" ca="1" si="31"/>
        <v>547725</v>
      </c>
      <c r="N53" s="936">
        <f t="shared" ca="1" si="31"/>
        <v>325374.23</v>
      </c>
      <c r="O53" s="936">
        <f t="shared" ref="O53:O61" ca="1" si="32">IF(L53&gt;0,N53*100/L53,0)</f>
        <v>44.798875120473632</v>
      </c>
      <c r="P53" s="936">
        <f t="shared" ref="P53:P61" ca="1" si="33">IF(M53&gt;0,N53*100/M53,0)</f>
        <v>59.404670226847415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726300</v>
      </c>
      <c r="M55" s="942">
        <f t="shared" ca="1" si="34"/>
        <v>547725</v>
      </c>
      <c r="N55" s="942">
        <f t="shared" ca="1" si="34"/>
        <v>325374.23</v>
      </c>
      <c r="O55" s="942">
        <f t="shared" ca="1" si="32"/>
        <v>44.798875120473632</v>
      </c>
      <c r="P55" s="942">
        <f t="shared" ca="1" si="33"/>
        <v>59.404670226847415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726300</v>
      </c>
      <c r="M56" s="864">
        <f t="shared" ca="1" si="35"/>
        <v>547725</v>
      </c>
      <c r="N56" s="864">
        <f t="shared" ca="1" si="35"/>
        <v>325374.23</v>
      </c>
      <c r="O56" s="864">
        <f t="shared" ca="1" si="32"/>
        <v>44.798875120473632</v>
      </c>
      <c r="P56" s="864">
        <f t="shared" ca="1" si="33"/>
        <v>59.404670226847415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IFERROR(__xludf.DUMMYFUNCTION("IMPORTRANGE(""https://docs.google.com/spreadsheets/d/1MeEWN-I1oV_STSDYn1IFDPWt_1FKiwhDph83XaGc0o0/edit?usp=sharing"",""งบพรบ!W38"")"),726300)</f>
        <v>726300</v>
      </c>
      <c r="M58" s="870">
        <f ca="1">IFERROR(__xludf.DUMMYFUNCTION("IMPORTRANGE(""https://docs.google.com/spreadsheets/d/1MeEWN-I1oV_STSDYn1IFDPWt_1FKiwhDph83XaGc0o0/edit?usp=sharing"",""งบพรบ!AB38"")"),547725)</f>
        <v>547725</v>
      </c>
      <c r="N58" s="870">
        <f ca="1">IFERROR(__xludf.DUMMYFUNCTION("IMPORTRANGE(""https://docs.google.com/spreadsheets/d/1MeEWN-I1oV_STSDYn1IFDPWt_1FKiwhDph83XaGc0o0/edit?usp=sharing"",""งบพรบ!AD38"")"),325374.23)</f>
        <v>325374.23</v>
      </c>
      <c r="O58" s="870">
        <f t="shared" ca="1" si="32"/>
        <v>44.798875120473632</v>
      </c>
      <c r="P58" s="870">
        <f t="shared" ca="1" si="33"/>
        <v>59.404670226847415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IFERROR(__xludf.DUMMYFUNCTION("IMPORTRANGE(""https://docs.google.com/spreadsheets/d/1MeEWN-I1oV_STSDYn1IFDPWt_1FKiwhDph83XaGc0o0/edit?usp=sharing"",""งบพรบ!Z38"")"),0)</f>
        <v>0</v>
      </c>
      <c r="M61" s="876">
        <f ca="1">IFERROR(__xludf.DUMMYFUNCTION("IMPORTRANGE(""https://docs.google.com/spreadsheets/d/1MeEWN-I1oV_STSDYn1IFDPWt_1FKiwhDph83XaGc0o0/edit?usp=sharing"",""งบพรบ!AC38"")"),0)</f>
        <v>0</v>
      </c>
      <c r="N61" s="876">
        <f ca="1">IFERROR(__xludf.DUMMYFUNCTION("IMPORTRANGE(""https://docs.google.com/spreadsheets/d/1MeEWN-I1oV_STSDYn1IFDPWt_1FKiwhDph83XaGc0o0/edit?usp=sharing"",""งบพรบ!AE38"")"),0)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63</v>
      </c>
      <c r="J65" s="962">
        <f t="shared" si="37"/>
        <v>63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855000</v>
      </c>
      <c r="M66" s="972">
        <f t="shared" ca="1" si="39"/>
        <v>649320</v>
      </c>
      <c r="N66" s="972">
        <f t="shared" ca="1" si="39"/>
        <v>406675.20000000001</v>
      </c>
      <c r="O66" s="972">
        <f t="shared" ref="O66:O74" ca="1" si="40">IF(L66&gt;0,N66*100/L66,0)</f>
        <v>47.564350877192986</v>
      </c>
      <c r="P66" s="972">
        <f t="shared" ref="P66:P74" ca="1" si="41">IF(M66&gt;0,N66*100/M66,0)</f>
        <v>62.630936980225464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855000</v>
      </c>
      <c r="M68" s="870">
        <f t="shared" ca="1" si="42"/>
        <v>649320</v>
      </c>
      <c r="N68" s="870">
        <f t="shared" ca="1" si="42"/>
        <v>406675.20000000001</v>
      </c>
      <c r="O68" s="870">
        <f t="shared" ca="1" si="40"/>
        <v>47.564350877192986</v>
      </c>
      <c r="P68" s="870">
        <f t="shared" ca="1" si="41"/>
        <v>62.630936980225464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855000</v>
      </c>
      <c r="M69" s="864">
        <f t="shared" ca="1" si="43"/>
        <v>649320</v>
      </c>
      <c r="N69" s="864">
        <f t="shared" ca="1" si="43"/>
        <v>406675.20000000001</v>
      </c>
      <c r="O69" s="864">
        <f t="shared" ca="1" si="40"/>
        <v>47.564350877192986</v>
      </c>
      <c r="P69" s="864">
        <f t="shared" ca="1" si="41"/>
        <v>62.630936980225464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IFERROR(__xludf.DUMMYFUNCTION("IMPORTRANGE(""https://docs.google.com/spreadsheets/d/1MeEWN-I1oV_STSDYn1IFDPWt_1FKiwhDph83XaGc0o0/edit?usp=sharing"",""งบพรบ!AG38"")"),855000)</f>
        <v>855000</v>
      </c>
      <c r="M71" s="870">
        <f ca="1">IFERROR(__xludf.DUMMYFUNCTION("IMPORTRANGE(""https://docs.google.com/spreadsheets/d/1MeEWN-I1oV_STSDYn1IFDPWt_1FKiwhDph83XaGc0o0/edit?usp=sharing"",""งบพรบ!AL38"")"),649320)</f>
        <v>649320</v>
      </c>
      <c r="N71" s="870">
        <f ca="1">IFERROR(__xludf.DUMMYFUNCTION("IMPORTRANGE(""https://docs.google.com/spreadsheets/d/1MeEWN-I1oV_STSDYn1IFDPWt_1FKiwhDph83XaGc0o0/edit?usp=sharing"",""งบพรบ!AN38"")"),406675.2)</f>
        <v>406675.20000000001</v>
      </c>
      <c r="O71" s="870">
        <f t="shared" ca="1" si="40"/>
        <v>47.564350877192986</v>
      </c>
      <c r="P71" s="870">
        <f t="shared" ca="1" si="41"/>
        <v>62.630936980225464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IFERROR(__xludf.DUMMYFUNCTION("IMPORTRANGE(""https://docs.google.com/spreadsheets/d/1MeEWN-I1oV_STSDYn1IFDPWt_1FKiwhDph83XaGc0o0/edit?usp=sharing"",""งบพรบ!AJ38"")"),0)</f>
        <v>0</v>
      </c>
      <c r="M74" s="870">
        <f ca="1">IFERROR(__xludf.DUMMYFUNCTION("IMPORTRANGE(""https://docs.google.com/spreadsheets/d/1MeEWN-I1oV_STSDYn1IFDPWt_1FKiwhDph83XaGc0o0/edit?usp=sharing"",""งบพรบ!AM38"")"),0)</f>
        <v>0</v>
      </c>
      <c r="N74" s="870">
        <f ca="1">IFERROR(__xludf.DUMMYFUNCTION("IMPORTRANGE(""https://docs.google.com/spreadsheets/d/1MeEWN-I1oV_STSDYn1IFDPWt_1FKiwhDph83XaGc0o0/edit?usp=sharing"",""งบพรบ!AO38"")"),0)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63</v>
      </c>
      <c r="J77" s="863">
        <f t="shared" si="45"/>
        <v>63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IFERROR(__xludf.DUMMYFUNCTION("IMPORTRANGE(""https://docs.google.com/spreadsheets/d/1QqKyyYR6Q21VydFLVH3TRQUabQu_ym0Zz7PgGX0-kHA/edit?usp=sharing"",""แผน!H38"")"),0)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IFERROR(__xludf.DUMMYFUNCTION("IMPORTRANGE(""https://docs.google.com/spreadsheets/d/1QqKyyYR6Q21VydFLVH3TRQUabQu_ym0Zz7PgGX0-kHA/edit?usp=sharing"",""แผน!I38"")"),0)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IFERROR(__xludf.DUMMYFUNCTION("IMPORTRANGE(""https://docs.google.com/spreadsheets/d/1QqKyyYR6Q21VydFLVH3TRQUabQu_ym0Zz7PgGX0-kHA/edit?usp=sharing"",""แผน!F38"")"),1)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IFERROR(__xludf.DUMMYFUNCTION("IMPORTRANGE(""https://docs.google.com/spreadsheets/d/1QqKyyYR6Q21VydFLVH3TRQUabQu_ym0Zz7PgGX0-kHA/edit?usp=sharing"",""แผน!G38"")"),63)</f>
        <v>63</v>
      </c>
      <c r="J81" s="992">
        <v>63</v>
      </c>
      <c r="K81" s="978">
        <f t="shared" ca="1" si="46"/>
        <v>100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IFERROR(__xludf.DUMMYFUNCTION("IMPORTRANGE(""https://docs.google.com/spreadsheets/d/1QqKyyYR6Q21VydFLVH3TRQUabQu_ym0Zz7PgGX0-kHA/edit?usp=sharing"",""แผน!D38"")"),0)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IFERROR(__xludf.DUMMYFUNCTION("IMPORTRANGE(""https://docs.google.com/spreadsheets/d/1QqKyyYR6Q21VydFLVH3TRQUabQu_ym0Zz7PgGX0-kHA/edit?usp=sharing"",""แผน!E38"")"),0)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IFERROR(__xludf.DUMMYFUNCTION("IMPORTRANGE(""https://docs.google.com/spreadsheets/d/1QqKyyYR6Q21VydFLVH3TRQUabQu_ym0Zz7PgGX0-kHA/edit?usp=sharing"",""แผน!J38"")"),1)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31200</v>
      </c>
      <c r="M88" s="972">
        <f t="shared" ca="1" si="49"/>
        <v>29350</v>
      </c>
      <c r="N88" s="972">
        <f t="shared" ca="1" si="49"/>
        <v>29065</v>
      </c>
      <c r="O88" s="972">
        <f t="shared" ref="O88:O96" ca="1" si="50">IF(L88&gt;0,N88*100/L88,0)</f>
        <v>93.157051282051285</v>
      </c>
      <c r="P88" s="972">
        <f t="shared" ref="P88:P96" ca="1" si="51">IF(M88&gt;0,N88*100/M88,0)</f>
        <v>99.028960817717206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31200</v>
      </c>
      <c r="M90" s="870">
        <f t="shared" ca="1" si="52"/>
        <v>29350</v>
      </c>
      <c r="N90" s="870">
        <f t="shared" ca="1" si="52"/>
        <v>29065</v>
      </c>
      <c r="O90" s="870">
        <f t="shared" ca="1" si="50"/>
        <v>93.157051282051285</v>
      </c>
      <c r="P90" s="870">
        <f t="shared" ca="1" si="51"/>
        <v>99.028960817717206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31200</v>
      </c>
      <c r="M91" s="864">
        <f t="shared" ca="1" si="53"/>
        <v>29350</v>
      </c>
      <c r="N91" s="864">
        <f t="shared" ca="1" si="53"/>
        <v>29065</v>
      </c>
      <c r="O91" s="864">
        <f t="shared" ca="1" si="50"/>
        <v>93.157051282051285</v>
      </c>
      <c r="P91" s="864">
        <f t="shared" ca="1" si="51"/>
        <v>99.028960817717206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IFERROR(__xludf.DUMMYFUNCTION("IMPORTRANGE(""https://docs.google.com/spreadsheets/d/1MeEWN-I1oV_STSDYn1IFDPWt_1FKiwhDph83XaGc0o0/edit?usp=sharing"",""งบพรบ!AQ38"")"),31200)</f>
        <v>31200</v>
      </c>
      <c r="M93" s="870">
        <f ca="1">IFERROR(__xludf.DUMMYFUNCTION("IMPORTRANGE(""https://docs.google.com/spreadsheets/d/1MeEWN-I1oV_STSDYn1IFDPWt_1FKiwhDph83XaGc0o0/edit?usp=sharing"",""งบพรบ!AV38"")"),29350)</f>
        <v>29350</v>
      </c>
      <c r="N93" s="870">
        <f ca="1">IFERROR(__xludf.DUMMYFUNCTION("IMPORTRANGE(""https://docs.google.com/spreadsheets/d/1MeEWN-I1oV_STSDYn1IFDPWt_1FKiwhDph83XaGc0o0/edit?usp=sharing"",""งบพรบ!AX38"")"),29065)</f>
        <v>29065</v>
      </c>
      <c r="O93" s="870">
        <f t="shared" ca="1" si="50"/>
        <v>93.157051282051285</v>
      </c>
      <c r="P93" s="870">
        <f t="shared" ca="1" si="51"/>
        <v>99.028960817717206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IFERROR(__xludf.DUMMYFUNCTION("IMPORTRANGE(""https://docs.google.com/spreadsheets/d/1MeEWN-I1oV_STSDYn1IFDPWt_1FKiwhDph83XaGc0o0/edit?usp=sharing"",""งบพรบ!AT38"")"),0)</f>
        <v>0</v>
      </c>
      <c r="M96" s="870">
        <f ca="1">IFERROR(__xludf.DUMMYFUNCTION("IMPORTRANGE(""https://docs.google.com/spreadsheets/d/1MeEWN-I1oV_STSDYn1IFDPWt_1FKiwhDph83XaGc0o0/edit?usp=sharing"",""งบพรบ!AW38"")"),0)</f>
        <v>0</v>
      </c>
      <c r="N96" s="870">
        <f ca="1">IFERROR(__xludf.DUMMYFUNCTION("IMPORTRANGE(""https://docs.google.com/spreadsheets/d/1MeEWN-I1oV_STSDYn1IFDPWt_1FKiwhDph83XaGc0o0/edit?usp=sharing"",""งบพรบ!AY38"")"),0)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IFERROR(__xludf.DUMMYFUNCTION("IMPORTRANGE(""https://docs.google.com/spreadsheets/d/1QqKyyYR6Q21VydFLVH3TRQUabQu_ym0Zz7PgGX0-kHA/edit?usp=sharing"",""แผน!K38"")"),0)</f>
        <v>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IFERROR(__xludf.DUMMYFUNCTION("IMPORTRANGE(""https://docs.google.com/spreadsheets/d/1QqKyyYR6Q21VydFLVH3TRQUabQu_ym0Zz7PgGX0-kHA/edit?usp=sharing"",""แผน!L38"")"),0)</f>
        <v>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IFERROR(__xludf.DUMMYFUNCTION("IMPORTRANGE(""https://docs.google.com/spreadsheets/d/1QqKyyYR6Q21VydFLVH3TRQUabQu_ym0Zz7PgGX0-kHA/edit?usp=sharing"",""แผน!M38"")"),1)</f>
        <v>1</v>
      </c>
      <c r="J100" s="863">
        <f>J107+J110</f>
        <v>1</v>
      </c>
      <c r="K100" s="864">
        <f t="shared" ca="1" si="55"/>
        <v>100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IFERROR(__xludf.DUMMYFUNCTION("IMPORTRANGE(""https://docs.google.com/spreadsheets/d/1QqKyyYR6Q21VydFLVH3TRQUabQu_ym0Zz7PgGX0-kHA/edit?usp=sharing"",""แผน!N38"")"),0)</f>
        <v>0</v>
      </c>
      <c r="J102" s="992">
        <v>0</v>
      </c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IFERROR(__xludf.DUMMYFUNCTION("IMPORTRANGE(""https://docs.google.com/spreadsheets/d/1QqKyyYR6Q21VydFLVH3TRQUabQu_ym0Zz7PgGX0-kHA/edit?usp=sharing"",""แผน!O38"")"),0)</f>
        <v>0</v>
      </c>
      <c r="J103" s="992">
        <v>0</v>
      </c>
      <c r="K103" s="864">
        <f t="shared" ca="1" si="56"/>
        <v>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IFERROR(__xludf.DUMMYFUNCTION("IMPORTRANGE(""https://docs.google.com/spreadsheets/d/1QqKyyYR6Q21VydFLVH3TRQUabQu_ym0Zz7PgGX0-kHA/edit?usp=sharing"",""แผน!O38"")"),0)</f>
        <v>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IFERROR(__xludf.DUMMYFUNCTION("IMPORTRANGE(""https://docs.google.com/spreadsheets/d/1QqKyyYR6Q21VydFLVH3TRQUabQu_ym0Zz7PgGX0-kHA/edit?usp=sharing"",""แผน!P38"")"),0)</f>
        <v>0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IFERROR(__xludf.DUMMYFUNCTION("IMPORTRANGE(""https://docs.google.com/spreadsheets/d/1QqKyyYR6Q21VydFLVH3TRQUabQu_ym0Zz7PgGX0-kHA/edit?usp=sharing"",""แผน!P38"")"),0)</f>
        <v>0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IFERROR(__xludf.DUMMYFUNCTION("IMPORTRANGE(""https://docs.google.com/spreadsheets/d/1QqKyyYR6Q21VydFLVH3TRQUabQu_ym0Zz7PgGX0-kHA/edit?usp=sharing"",""แผน!Q38"")"),1)</f>
        <v>1</v>
      </c>
      <c r="J109" s="992">
        <v>1</v>
      </c>
      <c r="K109" s="864">
        <f t="shared" ref="K109:K116" ca="1" si="58">IF(I109&gt;0,J109*100/I109,0)</f>
        <v>100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IFERROR(__xludf.DUMMYFUNCTION("IMPORTRANGE(""https://docs.google.com/spreadsheets/d/1QqKyyYR6Q21VydFLVH3TRQUabQu_ym0Zz7PgGX0-kHA/edit?usp=sharing"",""แผน!Q38"")"),1)</f>
        <v>1</v>
      </c>
      <c r="J110" s="992">
        <v>1</v>
      </c>
      <c r="K110" s="864">
        <f t="shared" ca="1" si="58"/>
        <v>100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IFERROR(__xludf.DUMMYFUNCTION("IMPORTRANGE(""https://docs.google.com/spreadsheets/d/1QqKyyYR6Q21VydFLVH3TRQUabQu_ym0Zz7PgGX0-kHA/edit?usp=sharing"",""แผน!R38"")"),0)</f>
        <v>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1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IFERROR(__xludf.DUMMYFUNCTION("IMPORTRANGE(""https://docs.google.com/spreadsheets/d/1QqKyyYR6Q21VydFLVH3TRQUabQu_ym0Zz7PgGX0-kHA/edit?usp=sharing"",""แผน!R38"")"),0)</f>
        <v>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IFERROR(__xludf.DUMMYFUNCTION("IMPORTRANGE(""https://docs.google.com/spreadsheets/d/1QqKyyYR6Q21VydFLVH3TRQUabQu_ym0Zz7PgGX0-kHA/edit?usp=sharing"",""แผน!R38"")"),0)</f>
        <v>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IFERROR(__xludf.DUMMYFUNCTION("IMPORTRANGE(""https://docs.google.com/spreadsheets/d/1QqKyyYR6Q21VydFLVH3TRQUabQu_ym0Zz7PgGX0-kHA/edit?usp=sharing"",""แผน!S38"")"),0)</f>
        <v>0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IFERROR(__xludf.DUMMYFUNCTION("IMPORTRANGE(""https://docs.google.com/spreadsheets/d/1QqKyyYR6Q21VydFLVH3TRQUabQu_ym0Zz7PgGX0-kHA/edit?usp=sharing"",""แผน!T38"")"),1)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IFERROR(__xludf.DUMMYFUNCTION("IMPORTRANGE(""https://docs.google.com/spreadsheets/d/1MeEWN-I1oV_STSDYn1IFDPWt_1FKiwhDph83XaGc0o0/edit?usp=sharing"",""งบพรบ!BA38"")"),0)</f>
        <v>0</v>
      </c>
      <c r="M124" s="870">
        <f ca="1">IFERROR(__xludf.DUMMYFUNCTION("IMPORTRANGE(""https://docs.google.com/spreadsheets/d/1MeEWN-I1oV_STSDYn1IFDPWt_1FKiwhDph83XaGc0o0/edit?usp=sharing"",""งบพรบ!BF38"")"),0)</f>
        <v>0</v>
      </c>
      <c r="N124" s="870">
        <f ca="1">IFERROR(__xludf.DUMMYFUNCTION("IMPORTRANGE(""https://docs.google.com/spreadsheets/d/1MeEWN-I1oV_STSDYn1IFDPWt_1FKiwhDph83XaGc0o0/edit?usp=sharing"",""งบพรบ!BH38"")"),0)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IFERROR(__xludf.DUMMYFUNCTION("IMPORTRANGE(""https://docs.google.com/spreadsheets/d/1MeEWN-I1oV_STSDYn1IFDPWt_1FKiwhDph83XaGc0o0/edit?usp=sharing"",""งบพรบ!BD38"")"),0)</f>
        <v>0</v>
      </c>
      <c r="M127" s="870">
        <f ca="1">IFERROR(__xludf.DUMMYFUNCTION("IMPORTRANGE(""https://docs.google.com/spreadsheets/d/1MeEWN-I1oV_STSDYn1IFDPWt_1FKiwhDph83XaGc0o0/edit?usp=sharing"",""งบพรบ!BG38"")"),0)</f>
        <v>0</v>
      </c>
      <c r="N127" s="870">
        <f ca="1">IFERROR(__xludf.DUMMYFUNCTION("IMPORTRANGE(""https://docs.google.com/spreadsheets/d/1MeEWN-I1oV_STSDYn1IFDPWt_1FKiwhDph83XaGc0o0/edit?usp=sharing"",""งบพรบ!BI38"")"),0)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IFERROR(__xludf.DUMMYFUNCTION("IMPORTRANGE(""https://docs.google.com/spreadsheets/d/1MeEWN-I1oV_STSDYn1IFDPWt_1FKiwhDph83XaGc0o0/edit?usp=sharing"",""งบพรบ!BK38"")"),0)</f>
        <v>0</v>
      </c>
      <c r="M137" s="870">
        <f ca="1">IFERROR(__xludf.DUMMYFUNCTION("IMPORTRANGE(""https://docs.google.com/spreadsheets/d/1MeEWN-I1oV_STSDYn1IFDPWt_1FKiwhDph83XaGc0o0/edit?usp=sharing"",""งบพรบ!BP38"")"),0)</f>
        <v>0</v>
      </c>
      <c r="N137" s="870">
        <f ca="1">IFERROR(__xludf.DUMMYFUNCTION("IMPORTRANGE(""https://docs.google.com/spreadsheets/d/1MeEWN-I1oV_STSDYn1IFDPWt_1FKiwhDph83XaGc0o0/edit?usp=sharing"",""งบพรบ!BR38"")"),0)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IFERROR(__xludf.DUMMYFUNCTION("IMPORTRANGE(""https://docs.google.com/spreadsheets/d/1MeEWN-I1oV_STSDYn1IFDPWt_1FKiwhDph83XaGc0o0/edit?usp=sharing"",""งบพรบ!BN38"")"),0)</f>
        <v>0</v>
      </c>
      <c r="M140" s="870">
        <f ca="1">IFERROR(__xludf.DUMMYFUNCTION("IMPORTRANGE(""https://docs.google.com/spreadsheets/d/1MeEWN-I1oV_STSDYn1IFDPWt_1FKiwhDph83XaGc0o0/edit?usp=sharing"",""งบพรบ!BQ38"")"),0)</f>
        <v>0</v>
      </c>
      <c r="N140" s="870">
        <f ca="1">IFERROR(__xludf.DUMMYFUNCTION("IMPORTRANGE(""https://docs.google.com/spreadsheets/d/1MeEWN-I1oV_STSDYn1IFDPWt_1FKiwhDph83XaGc0o0/edit?usp=sharing"",""งบพรบ!BS38"")"),0)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IFERROR(__xludf.DUMMYFUNCTION("IMPORTRANGE(""https://docs.google.com/spreadsheets/d/1QqKyyYR6Q21VydFLVH3TRQUabQu_ym0Zz7PgGX0-kHA/edit?usp=sharing"",""แผน!U38"")"),0)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IFERROR(__xludf.DUMMYFUNCTION("IMPORTRANGE(""https://docs.google.com/spreadsheets/d/1QqKyyYR6Q21VydFLVH3TRQUabQu_ym0Zz7PgGX0-kHA/edit?usp=sharing"",""แผน!V38"")"),0)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IFERROR(__xludf.DUMMYFUNCTION("IMPORTRANGE(""https://docs.google.com/spreadsheets/d/1QqKyyYR6Q21VydFLVH3TRQUabQu_ym0Zz7PgGX0-kHA/edit?usp=sharing"",""แผน!W38"")"),0)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20</v>
      </c>
      <c r="K148" s="963">
        <f ca="1">IF(I148&gt;0,J148*100/I148,0)</f>
        <v>100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16720</v>
      </c>
      <c r="N149" s="972">
        <f t="shared" ca="1" si="77"/>
        <v>14889</v>
      </c>
      <c r="O149" s="972">
        <f t="shared" ref="O149:O157" ca="1" si="78">IF(L149&gt;0,N149*100/L149,0)</f>
        <v>148.88999999999999</v>
      </c>
      <c r="P149" s="972">
        <f t="shared" ref="P149:P157" ca="1" si="79">IF(M149&gt;0,N149*100/M149,0)</f>
        <v>89.049043062200951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16720</v>
      </c>
      <c r="N151" s="870">
        <f t="shared" ca="1" si="80"/>
        <v>14889</v>
      </c>
      <c r="O151" s="870">
        <f t="shared" ca="1" si="78"/>
        <v>148.88999999999999</v>
      </c>
      <c r="P151" s="870">
        <f t="shared" ca="1" si="79"/>
        <v>89.049043062200951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16720</v>
      </c>
      <c r="N152" s="864">
        <f t="shared" ca="1" si="81"/>
        <v>14889</v>
      </c>
      <c r="O152" s="864">
        <f t="shared" ca="1" si="78"/>
        <v>148.88999999999999</v>
      </c>
      <c r="P152" s="864">
        <f t="shared" ca="1" si="79"/>
        <v>89.049043062200951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IFERROR(__xludf.DUMMYFUNCTION("IMPORTRANGE(""https://docs.google.com/spreadsheets/d/1MeEWN-I1oV_STSDYn1IFDPWt_1FKiwhDph83XaGc0o0/edit?usp=sharing"",""งบพรบ!BU38"")"),10000)</f>
        <v>10000</v>
      </c>
      <c r="M154" s="870">
        <f ca="1">IFERROR(__xludf.DUMMYFUNCTION("IMPORTRANGE(""https://docs.google.com/spreadsheets/d/1MeEWN-I1oV_STSDYn1IFDPWt_1FKiwhDph83XaGc0o0/edit?usp=sharing"",""งบพรบ!BZ38"")"),16720)</f>
        <v>16720</v>
      </c>
      <c r="N154" s="870">
        <f ca="1">IFERROR(__xludf.DUMMYFUNCTION("IMPORTRANGE(""https://docs.google.com/spreadsheets/d/1MeEWN-I1oV_STSDYn1IFDPWt_1FKiwhDph83XaGc0o0/edit?usp=sharing"",""งบพรบ!CB38"")"),14889)</f>
        <v>14889</v>
      </c>
      <c r="O154" s="870">
        <f t="shared" ca="1" si="78"/>
        <v>148.88999999999999</v>
      </c>
      <c r="P154" s="870">
        <f t="shared" ca="1" si="79"/>
        <v>89.049043062200951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IFERROR(__xludf.DUMMYFUNCTION("IMPORTRANGE(""https://docs.google.com/spreadsheets/d/1MeEWN-I1oV_STSDYn1IFDPWt_1FKiwhDph83XaGc0o0/edit?usp=sharing"",""งบพรบ!BX38"")"),0)</f>
        <v>0</v>
      </c>
      <c r="M157" s="870">
        <f ca="1">IFERROR(__xludf.DUMMYFUNCTION("IMPORTRANGE(""https://docs.google.com/spreadsheets/d/1MeEWN-I1oV_STSDYn1IFDPWt_1FKiwhDph83XaGc0o0/edit?usp=sharing"",""งบพรบ!CA38"")"),0)</f>
        <v>0</v>
      </c>
      <c r="N157" s="870">
        <f ca="1">IFERROR(__xludf.DUMMYFUNCTION("IMPORTRANGE(""https://docs.google.com/spreadsheets/d/1MeEWN-I1oV_STSDYn1IFDPWt_1FKiwhDph83XaGc0o0/edit?usp=sharing"",""งบพรบ!CC38"")"),0)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IFERROR(__xludf.DUMMYFUNCTION("IMPORTRANGE(""https://docs.google.com/spreadsheets/d/1QqKyyYR6Q21VydFLVH3TRQUabQu_ym0Zz7PgGX0-kHA/edit?usp=sharing"",""แผน!X38"")"),20)</f>
        <v>20</v>
      </c>
      <c r="J159" s="992">
        <v>20</v>
      </c>
      <c r="K159" s="864">
        <f ca="1">IF(I159&gt;0,J159*100/I159,0)</f>
        <v>100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10</v>
      </c>
      <c r="J164" s="1041">
        <f t="shared" si="83"/>
        <v>10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21050</v>
      </c>
      <c r="M165" s="972">
        <f t="shared" ca="1" si="84"/>
        <v>21050</v>
      </c>
      <c r="N165" s="972">
        <f t="shared" ca="1" si="84"/>
        <v>19857</v>
      </c>
      <c r="O165" s="972">
        <f t="shared" ref="O165:O173" ca="1" si="85">IF(L165&gt;0,N165*100/L165,0)</f>
        <v>94.332541567695955</v>
      </c>
      <c r="P165" s="972">
        <f t="shared" ref="P165:P173" ca="1" si="86">IF(M165&gt;0,N165*100/M165,0)</f>
        <v>94.332541567695955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21050</v>
      </c>
      <c r="M167" s="870">
        <f t="shared" ca="1" si="87"/>
        <v>21050</v>
      </c>
      <c r="N167" s="870">
        <f t="shared" ca="1" si="87"/>
        <v>19857</v>
      </c>
      <c r="O167" s="870">
        <f t="shared" ca="1" si="85"/>
        <v>94.332541567695955</v>
      </c>
      <c r="P167" s="870">
        <f t="shared" ca="1" si="86"/>
        <v>94.332541567695955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21050</v>
      </c>
      <c r="M168" s="864">
        <f t="shared" ca="1" si="88"/>
        <v>21050</v>
      </c>
      <c r="N168" s="864">
        <f t="shared" ca="1" si="88"/>
        <v>19857</v>
      </c>
      <c r="O168" s="864">
        <f t="shared" ca="1" si="85"/>
        <v>94.332541567695955</v>
      </c>
      <c r="P168" s="864">
        <f t="shared" ca="1" si="86"/>
        <v>94.332541567695955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IFERROR(__xludf.DUMMYFUNCTION("IMPORTRANGE(""https://docs.google.com/spreadsheets/d/1MeEWN-I1oV_STSDYn1IFDPWt_1FKiwhDph83XaGc0o0/edit?usp=sharing"",""งบพรบ!CE38"")"),21050)</f>
        <v>21050</v>
      </c>
      <c r="M170" s="870">
        <f ca="1">IFERROR(__xludf.DUMMYFUNCTION("IMPORTRANGE(""https://docs.google.com/spreadsheets/d/1MeEWN-I1oV_STSDYn1IFDPWt_1FKiwhDph83XaGc0o0/edit?usp=sharing"",""งบพรบ!CJ38"")"),21050)</f>
        <v>21050</v>
      </c>
      <c r="N170" s="870">
        <f ca="1">IFERROR(__xludf.DUMMYFUNCTION("IMPORTRANGE(""https://docs.google.com/spreadsheets/d/1MeEWN-I1oV_STSDYn1IFDPWt_1FKiwhDph83XaGc0o0/edit?usp=sharing"",""งบพรบ!CL38"")"),19857)</f>
        <v>19857</v>
      </c>
      <c r="O170" s="870">
        <f t="shared" ca="1" si="85"/>
        <v>94.332541567695955</v>
      </c>
      <c r="P170" s="870">
        <f t="shared" ca="1" si="86"/>
        <v>94.332541567695955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IFERROR(__xludf.DUMMYFUNCTION("IMPORTRANGE(""https://docs.google.com/spreadsheets/d/1MeEWN-I1oV_STSDYn1IFDPWt_1FKiwhDph83XaGc0o0/edit?usp=sharing"",""งบพรบ!CH38"")"),0)</f>
        <v>0</v>
      </c>
      <c r="M173" s="870">
        <f ca="1">IFERROR(__xludf.DUMMYFUNCTION("IMPORTRANGE(""https://docs.google.com/spreadsheets/d/1MeEWN-I1oV_STSDYn1IFDPWt_1FKiwhDph83XaGc0o0/edit?usp=sharing"",""งบพรบ!CK38"")"),0)</f>
        <v>0</v>
      </c>
      <c r="N173" s="870">
        <f ca="1">IFERROR(__xludf.DUMMYFUNCTION("IMPORTRANGE(""https://docs.google.com/spreadsheets/d/1MeEWN-I1oV_STSDYn1IFDPWt_1FKiwhDph83XaGc0o0/edit?usp=sharing"",""งบพรบ!CM38"")"),0)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10</v>
      </c>
      <c r="J174" s="1048">
        <f t="shared" si="90"/>
        <v>10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IFERROR(__xludf.DUMMYFUNCTION("IMPORTRANGE(""https://docs.google.com/spreadsheets/d/1QqKyyYR6Q21VydFLVH3TRQUabQu_ym0Zz7PgGX0-kHA/edit?usp=sharing"",""แผน!Y38"")"),10)</f>
        <v>10</v>
      </c>
      <c r="J176" s="992">
        <v>10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90000</v>
      </c>
      <c r="M181" s="972">
        <f t="shared" ca="1" si="92"/>
        <v>63500</v>
      </c>
      <c r="N181" s="972">
        <f t="shared" ca="1" si="92"/>
        <v>41040</v>
      </c>
      <c r="O181" s="972">
        <f t="shared" ref="O181:O189" ca="1" si="93">IF(L181&gt;0,N181*100/L181,0)</f>
        <v>45.6</v>
      </c>
      <c r="P181" s="972">
        <f t="shared" ref="P181:P189" ca="1" si="94">IF(M181&gt;0,N181*100/M181,0)</f>
        <v>64.629921259842519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90000</v>
      </c>
      <c r="M183" s="870">
        <f t="shared" ca="1" si="95"/>
        <v>63500</v>
      </c>
      <c r="N183" s="870">
        <f t="shared" ca="1" si="95"/>
        <v>41040</v>
      </c>
      <c r="O183" s="870">
        <f t="shared" ca="1" si="93"/>
        <v>45.6</v>
      </c>
      <c r="P183" s="870">
        <f t="shared" ca="1" si="94"/>
        <v>64.629921259842519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90000</v>
      </c>
      <c r="M184" s="864">
        <f t="shared" ca="1" si="96"/>
        <v>63500</v>
      </c>
      <c r="N184" s="864">
        <f t="shared" ca="1" si="96"/>
        <v>41040</v>
      </c>
      <c r="O184" s="864">
        <f t="shared" ca="1" si="93"/>
        <v>45.6</v>
      </c>
      <c r="P184" s="864">
        <f t="shared" ca="1" si="94"/>
        <v>64.629921259842519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IFERROR(__xludf.DUMMYFUNCTION("IMPORTRANGE(""https://docs.google.com/spreadsheets/d/1MeEWN-I1oV_STSDYn1IFDPWt_1FKiwhDph83XaGc0o0/edit?usp=sharing"",""งบพรบ!CO38"")"),90000)</f>
        <v>90000</v>
      </c>
      <c r="M186" s="870">
        <f ca="1">IFERROR(__xludf.DUMMYFUNCTION("IMPORTRANGE(""https://docs.google.com/spreadsheets/d/1MeEWN-I1oV_STSDYn1IFDPWt_1FKiwhDph83XaGc0o0/edit?usp=sharing"",""งบพรบ!CT38"")"),63500)</f>
        <v>63500</v>
      </c>
      <c r="N186" s="870">
        <f ca="1">IFERROR(__xludf.DUMMYFUNCTION("IMPORTRANGE(""https://docs.google.com/spreadsheets/d/1MeEWN-I1oV_STSDYn1IFDPWt_1FKiwhDph83XaGc0o0/edit?usp=sharing"",""งบพรบ!CV38"")"),41040)</f>
        <v>41040</v>
      </c>
      <c r="O186" s="870">
        <f t="shared" ca="1" si="93"/>
        <v>45.6</v>
      </c>
      <c r="P186" s="870">
        <f t="shared" ca="1" si="94"/>
        <v>64.629921259842519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IFERROR(__xludf.DUMMYFUNCTION("IMPORTRANGE(""https://docs.google.com/spreadsheets/d/1MeEWN-I1oV_STSDYn1IFDPWt_1FKiwhDph83XaGc0o0/edit?usp=sharing"",""งบพรบ!CR38"")"),0)</f>
        <v>0</v>
      </c>
      <c r="M189" s="870">
        <f ca="1">IFERROR(__xludf.DUMMYFUNCTION("IMPORTRANGE(""https://docs.google.com/spreadsheets/d/1MeEWN-I1oV_STSDYn1IFDPWt_1FKiwhDph83XaGc0o0/edit?usp=sharing"",""งบพรบ!CU38"")"),0)</f>
        <v>0</v>
      </c>
      <c r="N189" s="870">
        <f ca="1">IFERROR(__xludf.DUMMYFUNCTION("IMPORTRANGE(""https://docs.google.com/spreadsheets/d/1MeEWN-I1oV_STSDYn1IFDPWt_1FKiwhDph83XaGc0o0/edit?usp=sharing"",""งบพรบ!CW38"")"),0)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IFERROR(__xludf.DUMMYFUNCTION("IMPORTRANGE(""https://docs.google.com/spreadsheets/d/1QqKyyYR6Q21VydFLVH3TRQUabQu_ym0Zz7PgGX0-kHA/edit?usp=sharing"",""แผน!Z38"")"),6000)</f>
        <v>6000</v>
      </c>
      <c r="M191" s="972"/>
      <c r="N191" s="1060">
        <v>1200</v>
      </c>
      <c r="O191" s="972">
        <f ca="1">IF(L191&gt;0,N191*100/L191,0)</f>
        <v>20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IFERROR(__xludf.DUMMYFUNCTION("IMPORTRANGE(""https://docs.google.com/spreadsheets/d/1QqKyyYR6Q21VydFLVH3TRQUabQu_ym0Zz7PgGX0-kHA/edit?usp=sharing"",""แผน!AC38"")"),4)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30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30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26840</v>
      </c>
      <c r="O198" s="972">
        <f ca="1">IF(L198&gt;0,N198*100/L198,0)</f>
        <v>68.820512820512818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IFERROR(__xludf.DUMMYFUNCTION("IMPORTRANGE(""https://docs.google.com/spreadsheets/d/1QqKyyYR6Q21VydFLVH3TRQUabQu_ym0Zz7PgGX0-kHA/edit?usp=sharing"",""แผน!AE38"")"),3000)</f>
        <v>3000</v>
      </c>
      <c r="M199" s="864"/>
      <c r="N199" s="1064">
        <v>2840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IFERROR(__xludf.DUMMYFUNCTION("IMPORTRANGE(""https://docs.google.com/spreadsheets/d/1QqKyyYR6Q21VydFLVH3TRQUabQu_ym0Zz7PgGX0-kHA/edit?usp=sharing"",""แผน!AF38"")"),24000)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IFERROR(__xludf.DUMMYFUNCTION("IMPORTRANGE(""https://docs.google.com/spreadsheets/d/1QqKyyYR6Q21VydFLVH3TRQUabQu_ym0Zz7PgGX0-kHA/edit?usp=sharing"",""แผน!AG38"")"),12000)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IFERROR(__xludf.DUMMYFUNCTION("IMPORTRANGE(""https://docs.google.com/spreadsheets/d/1QqKyyYR6Q21VydFLVH3TRQUabQu_ym0Zz7PgGX0-kHA/edit?usp=sharing"",""แผน!AH38"")"),0)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IFERROR(__xludf.DUMMYFUNCTION("IMPORTRANGE(""https://docs.google.com/spreadsheets/d/1QqKyyYR6Q21VydFLVH3TRQUabQu_ym0Zz7PgGX0-kHA/edit?usp=sharing"",""แผน!AI38"")"),3)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13000</v>
      </c>
      <c r="O209" s="972">
        <f ca="1">IF(L209&gt;0,N209*100/L209,0)</f>
        <v>92.857142857142861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IFERROR(__xludf.DUMMYFUNCTION("IMPORTRANGE(""https://docs.google.com/spreadsheets/d/1QqKyyYR6Q21VydFLVH3TRQUabQu_ym0Zz7PgGX0-kHA/edit?usp=sharing"",""แผน!AK38"")"),1000)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IFERROR(__xludf.DUMMYFUNCTION("IMPORTRANGE(""https://docs.google.com/spreadsheets/d/1QqKyyYR6Q21VydFLVH3TRQUabQu_ym0Zz7PgGX0-kHA/edit?usp=sharing"",""แผน!AL38"")"),5000)</f>
        <v>5000</v>
      </c>
      <c r="M211" s="864"/>
      <c r="N211" s="1064">
        <v>5000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IFERROR(__xludf.DUMMYFUNCTION("IMPORTRANGE(""https://docs.google.com/spreadsheets/d/1QqKyyYR6Q21VydFLVH3TRQUabQu_ym0Zz7PgGX0-kHA/edit?usp=sharing"",""แผน!AM38"")"),8000)</f>
        <v>8000</v>
      </c>
      <c r="M212" s="864"/>
      <c r="N212" s="1064">
        <v>8000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IFERROR(__xludf.DUMMYFUNCTION("IMPORTRANGE(""https://docs.google.com/spreadsheets/d/1QqKyyYR6Q21VydFLVH3TRQUabQu_ym0Zz7PgGX0-kHA/edit?usp=sharing"",""แผน!AN38"")"),1)</f>
        <v>1</v>
      </c>
      <c r="J214" s="992">
        <v>1</v>
      </c>
      <c r="K214" s="864">
        <f t="shared" ref="K214:K216" ca="1" si="102">IF(I214&gt;0,J214*100/I214,0)</f>
        <v>100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IFERROR(__xludf.DUMMYFUNCTION("IMPORTRANGE(""https://docs.google.com/spreadsheets/d/1QqKyyYR6Q21VydFLVH3TRQUabQu_ym0Zz7PgGX0-kHA/edit?usp=sharing"",""แผน!AN38"")"),1)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100000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31000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IFERROR(__xludf.DUMMYFUNCTION("IMPORTRANGE(""https://docs.google.com/spreadsheets/d/1QqKyyYR6Q21VydFLVH3TRQUabQu_ym0Zz7PgGX0-kHA/edit?usp=sharing"",""แผน!AP38"")"),6000)</f>
        <v>6000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IFERROR(__xludf.DUMMYFUNCTION("IMPORTRANGE(""https://docs.google.com/spreadsheets/d/1QqKyyYR6Q21VydFLVH3TRQUabQu_ym0Zz7PgGX0-kHA/edit?usp=sharing"",""แผน!AQ38"")"),25000)</f>
        <v>25000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IFERROR(__xludf.DUMMYFUNCTION("IMPORTRANGE(""https://docs.google.com/spreadsheets/d/1QqKyyYR6Q21VydFLVH3TRQUabQu_ym0Zz7PgGX0-kHA/edit?usp=sharing"",""แผน!AR38"")"),0)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IFERROR(__xludf.DUMMYFUNCTION("IMPORTRANGE(""https://docs.google.com/spreadsheets/d/1QqKyyYR6Q21VydFLVH3TRQUabQu_ym0Zz7PgGX0-kHA/edit?usp=sharing"",""แผน!AT38"")"),100000)</f>
        <v>100000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IFERROR(__xludf.DUMMYFUNCTION("IMPORTRANGE(""https://docs.google.com/spreadsheets/d/1QqKyyYR6Q21VydFLVH3TRQUabQu_ym0Zz7PgGX0-kHA/edit?usp=sharing"",""แผน!AT38"")"),100000)</f>
        <v>100000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IFERROR(__xludf.DUMMYFUNCTION("IMPORTRANGE(""https://docs.google.com/spreadsheets/d/1QqKyyYR6Q21VydFLVH3TRQUabQu_ym0Zz7PgGX0-kHA/edit?usp=sharing"",""แผน!AS38"")"),0)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IFERROR(__xludf.DUMMYFUNCTION("IMPORTRANGE(""https://docs.google.com/spreadsheets/d/1QqKyyYR6Q21VydFLVH3TRQUabQu_ym0Zz7PgGX0-kHA/edit?usp=sharing"",""แผน!AV38"")"),0)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IFERROR(__xludf.DUMMYFUNCTION("IMPORTRANGE(""https://docs.google.com/spreadsheets/d/1QqKyyYR6Q21VydFLVH3TRQUabQu_ym0Zz7PgGX0-kHA/edit?usp=sharing"",""แผน!AW38"")"),0)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IFERROR(__xludf.DUMMYFUNCTION("IMPORTRANGE(""https://docs.google.com/spreadsheets/d/1QqKyyYR6Q21VydFLVH3TRQUabQu_ym0Zz7PgGX0-kHA/edit?usp=sharing"",""แผน!AX38"")"),0)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IFERROR(__xludf.DUMMYFUNCTION("IMPORTRANGE(""https://docs.google.com/spreadsheets/d/1QqKyyYR6Q21VydFLVH3TRQUabQu_ym0Zz7PgGX0-kHA/edit?usp=sharing"",""แผน!AY38"")"),0)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IFERROR(__xludf.DUMMYFUNCTION("IMPORTRANGE(""https://docs.google.com/spreadsheets/d/1QqKyyYR6Q21VydFLVH3TRQUabQu_ym0Zz7PgGX0-kHA/edit?usp=sharing"",""แผน!BE38"")"),0)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IFERROR(__xludf.DUMMYFUNCTION("IMPORTRANGE(""https://docs.google.com/spreadsheets/d/1QqKyyYR6Q21VydFLVH3TRQUabQu_ym0Zz7PgGX0-kHA/edit?usp=sharing"",""แผน!AZ38"")"),0)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IFERROR(__xludf.DUMMYFUNCTION("IMPORTRANGE(""https://docs.google.com/spreadsheets/d/1QqKyyYR6Q21VydFLVH3TRQUabQu_ym0Zz7PgGX0-kHA/edit?usp=sharing"",""แผน!BA38"")"),0)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IFERROR(__xludf.DUMMYFUNCTION("IMPORTRANGE(""https://docs.google.com/spreadsheets/d/1QqKyyYR6Q21VydFLVH3TRQUabQu_ym0Zz7PgGX0-kHA/edit?usp=sharing"",""แผน!BB38"")"),0)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IFERROR(__xludf.DUMMYFUNCTION("IMPORTRANGE(""https://docs.google.com/spreadsheets/d/1QqKyyYR6Q21VydFLVH3TRQUabQu_ym0Zz7PgGX0-kHA/edit?usp=sharing"",""แผน!BC38"")"),0)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IFERROR(__xludf.DUMMYFUNCTION("IMPORTRANGE(""https://docs.google.com/spreadsheets/d/1QqKyyYR6Q21VydFLVH3TRQUabQu_ym0Zz7PgGX0-kHA/edit?usp=sharing"",""แผน!BF38"")"),0)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20388</v>
      </c>
      <c r="O261" s="972">
        <f t="shared" ref="O261:O269" ca="1" si="117">IF(L261&gt;0,N261*100/L261,0)</f>
        <v>75.791821561338296</v>
      </c>
      <c r="P261" s="972">
        <f t="shared" ref="P261:P269" ca="1" si="118">IF(M261&gt;0,N261*100/M261,0)</f>
        <v>85.305439330543933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20388</v>
      </c>
      <c r="O263" s="870">
        <f t="shared" ca="1" si="117"/>
        <v>75.791821561338296</v>
      </c>
      <c r="P263" s="870">
        <f t="shared" ca="1" si="118"/>
        <v>85.305439330543933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20388</v>
      </c>
      <c r="O264" s="864">
        <f t="shared" ca="1" si="117"/>
        <v>75.791821561338296</v>
      </c>
      <c r="P264" s="864">
        <f t="shared" ca="1" si="118"/>
        <v>85.305439330543933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IFERROR(__xludf.DUMMYFUNCTION("IMPORTRANGE(""https://docs.google.com/spreadsheets/d/1MeEWN-I1oV_STSDYn1IFDPWt_1FKiwhDph83XaGc0o0/edit?usp=sharing"",""งบพรบ!CY38"")"),26900)</f>
        <v>26900</v>
      </c>
      <c r="M266" s="870">
        <f ca="1">IFERROR(__xludf.DUMMYFUNCTION("IMPORTRANGE(""https://docs.google.com/spreadsheets/d/1MeEWN-I1oV_STSDYn1IFDPWt_1FKiwhDph83XaGc0o0/edit?usp=sharing"",""งบพรบ!DD38"")"),23900)</f>
        <v>23900</v>
      </c>
      <c r="N266" s="870">
        <f ca="1">IFERROR(__xludf.DUMMYFUNCTION("IMPORTRANGE(""https://docs.google.com/spreadsheets/d/1MeEWN-I1oV_STSDYn1IFDPWt_1FKiwhDph83XaGc0o0/edit?usp=sharing"",""งบพรบ!DF38"")"),20388)</f>
        <v>20388</v>
      </c>
      <c r="O266" s="870">
        <f t="shared" ca="1" si="117"/>
        <v>75.791821561338296</v>
      </c>
      <c r="P266" s="870">
        <f t="shared" ca="1" si="118"/>
        <v>85.305439330543933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IFERROR(__xludf.DUMMYFUNCTION("IMPORTRANGE(""https://docs.google.com/spreadsheets/d/1MeEWN-I1oV_STSDYn1IFDPWt_1FKiwhDph83XaGc0o0/edit?usp=sharing"",""งบพรบ!DB38"")"),0)</f>
        <v>0</v>
      </c>
      <c r="M269" s="870">
        <f ca="1">IFERROR(__xludf.DUMMYFUNCTION("IMPORTRANGE(""https://docs.google.com/spreadsheets/d/1MeEWN-I1oV_STSDYn1IFDPWt_1FKiwhDph83XaGc0o0/edit?usp=sharing"",""งบพรบ!DE38"")"),0)</f>
        <v>0</v>
      </c>
      <c r="N269" s="870">
        <f ca="1">IFERROR(__xludf.DUMMYFUNCTION("IMPORTRANGE(""https://docs.google.com/spreadsheets/d/1MeEWN-I1oV_STSDYn1IFDPWt_1FKiwhDph83XaGc0o0/edit?usp=sharing"",""งบพรบ!DG38"")"),0)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IFERROR(__xludf.DUMMYFUNCTION("IMPORTRANGE(""https://docs.google.com/spreadsheets/d/1QqKyyYR6Q21VydFLVH3TRQUabQu_ym0Zz7PgGX0-kHA/edit?usp=sharing"",""แผน!EA38"")"),22)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10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100</v>
      </c>
      <c r="J276" s="1138">
        <f t="shared" si="124"/>
        <v>100</v>
      </c>
      <c r="K276" s="1139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41010</v>
      </c>
      <c r="M277" s="972">
        <f t="shared" ca="1" si="125"/>
        <v>21950</v>
      </c>
      <c r="N277" s="972">
        <f t="shared" ca="1" si="125"/>
        <v>14960</v>
      </c>
      <c r="O277" s="972">
        <f t="shared" ref="O277:O285" ca="1" si="126">IF(L277&gt;0,N277*100/L277,0)</f>
        <v>36.478907583516218</v>
      </c>
      <c r="P277" s="972">
        <f t="shared" ref="P277:P285" ca="1" si="127">IF(M277&gt;0,N277*100/M277,0)</f>
        <v>68.154897494305246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41010</v>
      </c>
      <c r="M279" s="870">
        <f t="shared" ca="1" si="128"/>
        <v>21950</v>
      </c>
      <c r="N279" s="870">
        <f t="shared" ca="1" si="128"/>
        <v>14960</v>
      </c>
      <c r="O279" s="870">
        <f t="shared" ca="1" si="126"/>
        <v>36.478907583516218</v>
      </c>
      <c r="P279" s="870">
        <f t="shared" ca="1" si="127"/>
        <v>68.154897494305246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41010</v>
      </c>
      <c r="M280" s="864">
        <f t="shared" ca="1" si="129"/>
        <v>21950</v>
      </c>
      <c r="N280" s="864">
        <f t="shared" ca="1" si="129"/>
        <v>14960</v>
      </c>
      <c r="O280" s="864">
        <f t="shared" ca="1" si="126"/>
        <v>36.478907583516218</v>
      </c>
      <c r="P280" s="864">
        <f t="shared" ca="1" si="127"/>
        <v>68.154897494305246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IFERROR(__xludf.DUMMYFUNCTION("IMPORTRANGE(""https://docs.google.com/spreadsheets/d/1MeEWN-I1oV_STSDYn1IFDPWt_1FKiwhDph83XaGc0o0/edit?usp=sharing"",""งบพรบ!DI38"")"),41010)</f>
        <v>41010</v>
      </c>
      <c r="M282" s="870">
        <f ca="1">IFERROR(__xludf.DUMMYFUNCTION("IMPORTRANGE(""https://docs.google.com/spreadsheets/d/1MeEWN-I1oV_STSDYn1IFDPWt_1FKiwhDph83XaGc0o0/edit?usp=sharing"",""งบพรบ!DN38"")"),21950)</f>
        <v>21950</v>
      </c>
      <c r="N282" s="870">
        <f ca="1">IFERROR(__xludf.DUMMYFUNCTION("IMPORTRANGE(""https://docs.google.com/spreadsheets/d/1MeEWN-I1oV_STSDYn1IFDPWt_1FKiwhDph83XaGc0o0/edit?usp=sharing"",""งบพรบ!DP38"")"),14960)</f>
        <v>14960</v>
      </c>
      <c r="O282" s="870">
        <f t="shared" ca="1" si="126"/>
        <v>36.478907583516218</v>
      </c>
      <c r="P282" s="870">
        <f t="shared" ca="1" si="127"/>
        <v>68.154897494305246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IFERROR(__xludf.DUMMYFUNCTION("IMPORTRANGE(""https://docs.google.com/spreadsheets/d/1MeEWN-I1oV_STSDYn1IFDPWt_1FKiwhDph83XaGc0o0/edit?usp=sharing"",""งบพรบ!DL38"")"),0)</f>
        <v>0</v>
      </c>
      <c r="M285" s="870">
        <f ca="1">IFERROR(__xludf.DUMMYFUNCTION("IMPORTRANGE(""https://docs.google.com/spreadsheets/d/1MeEWN-I1oV_STSDYn1IFDPWt_1FKiwhDph83XaGc0o0/edit?usp=sharing"",""งบพรบ!DO38"")"),0)</f>
        <v>0</v>
      </c>
      <c r="N285" s="870">
        <f ca="1">IFERROR(__xludf.DUMMYFUNCTION("IMPORTRANGE(""https://docs.google.com/spreadsheets/d/1MeEWN-I1oV_STSDYn1IFDPWt_1FKiwhDph83XaGc0o0/edit?usp=sharing"",""งบพรบ!DQ38"")"),0)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IFERROR(__xludf.DUMMYFUNCTION("IMPORTRANGE(""https://docs.google.com/spreadsheets/d/1QqKyyYR6Q21VydFLVH3TRQUabQu_ym0Zz7PgGX0-kHA/edit?usp=sharing"",""แผน!EC38"")"),100)</f>
        <v>100</v>
      </c>
      <c r="J287" s="992">
        <v>100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IFERROR(__xludf.DUMMYFUNCTION("IMPORTRANGE(""https://docs.google.com/spreadsheets/d/1QqKyyYR6Q21VydFLVH3TRQUabQu_ym0Zz7PgGX0-kHA/edit?usp=sharing"",""แผน!EB38"")"),10)</f>
        <v>10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IFERROR(__xludf.DUMMYFUNCTION("IMPORTRANGE(""https://docs.google.com/spreadsheets/d/1QqKyyYR6Q21VydFLVH3TRQUabQu_ym0Zz7PgGX0-kHA/edit?usp=sharing"",""แผน!EB38"")"),10)</f>
        <v>10</v>
      </c>
      <c r="J290" s="992">
        <v>10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IFERROR(__xludf.DUMMYFUNCTION("IMPORTRANGE(""https://docs.google.com/spreadsheets/d/1QqKyyYR6Q21VydFLVH3TRQUabQu_ym0Zz7PgGX0-kHA/edit?usp=sharing"",""แผน!EB38"")"),10)</f>
        <v>10</v>
      </c>
      <c r="J291" s="992">
        <v>10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IFERROR(__xludf.DUMMYFUNCTION("IMPORTRANGE(""https://docs.google.com/spreadsheets/d/1QqKyyYR6Q21VydFLVH3TRQUabQu_ym0Zz7PgGX0-kHA/edit?usp=sharing"",""แผน!EB38"")"),10)</f>
        <v>10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IFERROR(__xludf.DUMMYFUNCTION("IMPORTRANGE(""https://docs.google.com/spreadsheets/d/1QqKyyYR6Q21VydFLVH3TRQUabQu_ym0Zz7PgGX0-kHA/edit?usp=sharing"",""แผน!EB38"")"),10)</f>
        <v>10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25</v>
      </c>
      <c r="J297" s="1170">
        <f t="shared" si="134"/>
        <v>25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387000</v>
      </c>
      <c r="M298" s="972">
        <f t="shared" ca="1" si="135"/>
        <v>286500</v>
      </c>
      <c r="N298" s="972">
        <f t="shared" ca="1" si="135"/>
        <v>179345.09</v>
      </c>
      <c r="O298" s="972">
        <f t="shared" ref="O298:O306" ca="1" si="136">IF(L298&gt;0,N298*100/L298,0)</f>
        <v>46.342400516795863</v>
      </c>
      <c r="P298" s="972">
        <f t="shared" ref="P298:P306" ca="1" si="137">IF(M298&gt;0,N298*100/M298,0)</f>
        <v>62.598635253054098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387000</v>
      </c>
      <c r="M300" s="870">
        <f t="shared" ca="1" si="138"/>
        <v>286500</v>
      </c>
      <c r="N300" s="870">
        <f t="shared" ca="1" si="138"/>
        <v>179345.09</v>
      </c>
      <c r="O300" s="870">
        <f t="shared" ca="1" si="136"/>
        <v>46.342400516795863</v>
      </c>
      <c r="P300" s="870">
        <f t="shared" ca="1" si="137"/>
        <v>62.598635253054098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387000</v>
      </c>
      <c r="M301" s="864">
        <f t="shared" ca="1" si="139"/>
        <v>286500</v>
      </c>
      <c r="N301" s="864">
        <f t="shared" ca="1" si="139"/>
        <v>179345.09</v>
      </c>
      <c r="O301" s="864">
        <f t="shared" ca="1" si="136"/>
        <v>46.342400516795863</v>
      </c>
      <c r="P301" s="864">
        <f t="shared" ca="1" si="137"/>
        <v>62.598635253054098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IFERROR(__xludf.DUMMYFUNCTION("IMPORTRANGE(""https://docs.google.com/spreadsheets/d/1MeEWN-I1oV_STSDYn1IFDPWt_1FKiwhDph83XaGc0o0/edit?usp=sharing"",""งบพรบ!DS38"")"),387000)</f>
        <v>387000</v>
      </c>
      <c r="M303" s="870">
        <f ca="1">IFERROR(__xludf.DUMMYFUNCTION("IMPORTRANGE(""https://docs.google.com/spreadsheets/d/1MeEWN-I1oV_STSDYn1IFDPWt_1FKiwhDph83XaGc0o0/edit?usp=sharing"",""งบพรบ!DX38"")"),286500)</f>
        <v>286500</v>
      </c>
      <c r="N303" s="870">
        <f ca="1">IFERROR(__xludf.DUMMYFUNCTION("IMPORTRANGE(""https://docs.google.com/spreadsheets/d/1MeEWN-I1oV_STSDYn1IFDPWt_1FKiwhDph83XaGc0o0/edit?usp=sharing"",""งบพรบ!DZ38"")"),179345.09)</f>
        <v>179345.09</v>
      </c>
      <c r="O303" s="870">
        <f t="shared" ca="1" si="136"/>
        <v>46.342400516795863</v>
      </c>
      <c r="P303" s="870">
        <f t="shared" ca="1" si="137"/>
        <v>62.598635253054098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IFERROR(__xludf.DUMMYFUNCTION("IMPORTRANGE(""https://docs.google.com/spreadsheets/d/1MeEWN-I1oV_STSDYn1IFDPWt_1FKiwhDph83XaGc0o0/edit?usp=sharing"",""งบพรบ!DV38"")"),0)</f>
        <v>0</v>
      </c>
      <c r="M306" s="870">
        <f ca="1">IFERROR(__xludf.DUMMYFUNCTION("IMPORTRANGE(""https://docs.google.com/spreadsheets/d/1MeEWN-I1oV_STSDYn1IFDPWt_1FKiwhDph83XaGc0o0/edit?usp=sharing"",""งบพรบ!DY38"")"),0)</f>
        <v>0</v>
      </c>
      <c r="N306" s="870">
        <f ca="1">IFERROR(__xludf.DUMMYFUNCTION("IMPORTRANGE(""https://docs.google.com/spreadsheets/d/1MeEWN-I1oV_STSDYn1IFDPWt_1FKiwhDph83XaGc0o0/edit?usp=sharing"",""งบพรบ!EA38"")"),0)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IFERROR(__xludf.DUMMYFUNCTION("IMPORTRANGE(""https://docs.google.com/spreadsheets/d/1QqKyyYR6Q21VydFLVH3TRQUabQu_ym0Zz7PgGX0-kHA/edit?usp=sharing"",""แผน!ED38"")"),25)</f>
        <v>25</v>
      </c>
      <c r="J309" s="992">
        <v>25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IFERROR(__xludf.DUMMYFUNCTION("IMPORTRANGE(""https://docs.google.com/spreadsheets/d/1QqKyyYR6Q21VydFLVH3TRQUabQu_ym0Zz7PgGX0-kHA/edit?usp=sharing"",""แผน!ED38"")"),25)</f>
        <v>25</v>
      </c>
      <c r="J310" s="992">
        <v>25</v>
      </c>
      <c r="K310" s="864">
        <f t="shared" ca="1" si="141"/>
        <v>100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IFERROR(__xludf.DUMMYFUNCTION("IMPORTRANGE(""https://docs.google.com/spreadsheets/d/1QqKyyYR6Q21VydFLVH3TRQUabQu_ym0Zz7PgGX0-kHA/edit?usp=sharing"",""แผน!ED38"")"),25)</f>
        <v>25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IFERROR(__xludf.DUMMYFUNCTION("IMPORTRANGE(""https://docs.google.com/spreadsheets/d/1QqKyyYR6Q21VydFLVH3TRQUabQu_ym0Zz7PgGX0-kHA/edit?usp=sharing"",""แผน!EE38"")"),5)</f>
        <v>5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IFERROR(__xludf.DUMMYFUNCTION("IMPORTRANGE(""https://docs.google.com/spreadsheets/d/1MeEWN-I1oV_STSDYn1IFDPWt_1FKiwhDph83XaGc0o0/edit?usp=sharing"",""งบพรบ!EC38"")"),0)</f>
        <v>0</v>
      </c>
      <c r="M320" s="870">
        <f ca="1">IFERROR(__xludf.DUMMYFUNCTION("IMPORTRANGE(""https://docs.google.com/spreadsheets/d/1MeEWN-I1oV_STSDYn1IFDPWt_1FKiwhDph83XaGc0o0/edit?usp=sharing"",""งบพรบ!EH38"")"),0)</f>
        <v>0</v>
      </c>
      <c r="N320" s="870">
        <f ca="1">IFERROR(__xludf.DUMMYFUNCTION("IMPORTRANGE(""https://docs.google.com/spreadsheets/d/1MeEWN-I1oV_STSDYn1IFDPWt_1FKiwhDph83XaGc0o0/edit?usp=sharing"",""งบพรบ!EJ38"")"),0)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IFERROR(__xludf.DUMMYFUNCTION("IMPORTRANGE(""https://docs.google.com/spreadsheets/d/1MeEWN-I1oV_STSDYn1IFDPWt_1FKiwhDph83XaGc0o0/edit?usp=sharing"",""งบพรบ!EF38"")"),0)</f>
        <v>0</v>
      </c>
      <c r="M323" s="870">
        <f ca="1">IFERROR(__xludf.DUMMYFUNCTION("IMPORTRANGE(""https://docs.google.com/spreadsheets/d/1MeEWN-I1oV_STSDYn1IFDPWt_1FKiwhDph83XaGc0o0/edit?usp=sharing"",""งบพรบ!EI38"")"),0)</f>
        <v>0</v>
      </c>
      <c r="N323" s="870">
        <f ca="1">IFERROR(__xludf.DUMMYFUNCTION("IMPORTRANGE(""https://docs.google.com/spreadsheets/d/1MeEWN-I1oV_STSDYn1IFDPWt_1FKiwhDph83XaGc0o0/edit?usp=sharing"",""งบพรบ!EK38"")"),0)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IFERROR(__xludf.DUMMYFUNCTION("IMPORTRANGE(""https://docs.google.com/spreadsheets/d/1QqKyyYR6Q21VydFLVH3TRQUabQu_ym0Zz7PgGX0-kHA/edit?usp=sharing"",""แผน!EF38"")"),0)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IFERROR(__xludf.DUMMYFUNCTION("IMPORTRANGE(""https://docs.google.com/spreadsheets/d/1QqKyyYR6Q21VydFLVH3TRQUabQu_ym0Zz7PgGX0-kHA/edit?usp=sharing"",""แผน!EG38"")"),6300)</f>
        <v>6300</v>
      </c>
      <c r="J327" s="1170">
        <f ca="1">J338+J341+J342+J343</f>
        <v>4088</v>
      </c>
      <c r="K327" s="1171">
        <f ca="1">IF(I327&gt;0,J327*100/I327,0)</f>
        <v>64.888888888888886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355200</v>
      </c>
      <c r="M328" s="972">
        <f t="shared" ca="1" si="149"/>
        <v>268900</v>
      </c>
      <c r="N328" s="972">
        <f t="shared" ca="1" si="149"/>
        <v>117949.07</v>
      </c>
      <c r="O328" s="972">
        <f t="shared" ref="O328:O336" ca="1" si="150">IF(L328&gt;0,N328*100/L328,0)</f>
        <v>33.206382319819816</v>
      </c>
      <c r="P328" s="972">
        <f t="shared" ref="P328:P336" ca="1" si="151">IF(M328&gt;0,N328*100/M328,0)</f>
        <v>43.863544068426926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355200</v>
      </c>
      <c r="M330" s="870">
        <f t="shared" ca="1" si="152"/>
        <v>268900</v>
      </c>
      <c r="N330" s="870">
        <f t="shared" ca="1" si="152"/>
        <v>117949.07</v>
      </c>
      <c r="O330" s="870">
        <f t="shared" ca="1" si="150"/>
        <v>33.206382319819816</v>
      </c>
      <c r="P330" s="870">
        <f t="shared" ca="1" si="151"/>
        <v>43.863544068426926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355200</v>
      </c>
      <c r="M331" s="864">
        <f t="shared" ca="1" si="153"/>
        <v>268900</v>
      </c>
      <c r="N331" s="864">
        <f t="shared" ca="1" si="153"/>
        <v>117949.07</v>
      </c>
      <c r="O331" s="864">
        <f t="shared" ca="1" si="150"/>
        <v>33.206382319819816</v>
      </c>
      <c r="P331" s="864">
        <f t="shared" ca="1" si="151"/>
        <v>43.863544068426926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IFERROR(__xludf.DUMMYFUNCTION("IMPORTRANGE(""https://docs.google.com/spreadsheets/d/1MeEWN-I1oV_STSDYn1IFDPWt_1FKiwhDph83XaGc0o0/edit?usp=sharing"",""งบพรบ!EM38"")"),355200)</f>
        <v>355200</v>
      </c>
      <c r="M333" s="870">
        <f ca="1">IFERROR(__xludf.DUMMYFUNCTION("IMPORTRANGE(""https://docs.google.com/spreadsheets/d/1MeEWN-I1oV_STSDYn1IFDPWt_1FKiwhDph83XaGc0o0/edit?usp=sharing"",""งบพรบ!ER38"")"),268900)</f>
        <v>268900</v>
      </c>
      <c r="N333" s="870">
        <f ca="1">IFERROR(__xludf.DUMMYFUNCTION("IMPORTRANGE(""https://docs.google.com/spreadsheets/d/1MeEWN-I1oV_STSDYn1IFDPWt_1FKiwhDph83XaGc0o0/edit?usp=sharing"",""งบพรบ!ET38"")"),117949.07)</f>
        <v>117949.07</v>
      </c>
      <c r="O333" s="870">
        <f t="shared" ca="1" si="150"/>
        <v>33.206382319819816</v>
      </c>
      <c r="P333" s="870">
        <f t="shared" ca="1" si="151"/>
        <v>43.863544068426926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IFERROR(__xludf.DUMMYFUNCTION("IMPORTRANGE(""https://docs.google.com/spreadsheets/d/1MeEWN-I1oV_STSDYn1IFDPWt_1FKiwhDph83XaGc0o0/edit?usp=sharing"",""งบพรบ!EP38"")"),0)</f>
        <v>0</v>
      </c>
      <c r="M336" s="870">
        <f ca="1">IFERROR(__xludf.DUMMYFUNCTION("IMPORTRANGE(""https://docs.google.com/spreadsheets/d/1MeEWN-I1oV_STSDYn1IFDPWt_1FKiwhDph83XaGc0o0/edit?usp=sharing"",""งบพรบ!ES38"")"),0)</f>
        <v>0</v>
      </c>
      <c r="N336" s="870">
        <f ca="1">IFERROR(__xludf.DUMMYFUNCTION("IMPORTRANGE(""https://docs.google.com/spreadsheets/d/1MeEWN-I1oV_STSDYn1IFDPWt_1FKiwhDph83XaGc0o0/edit?usp=sharing"",""งบพรบ!EU38"")"),0)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IFERROR(__xludf.DUMMYFUNCTION("IMPORTRANGE(""https://docs.google.com/spreadsheets/d/1QqKyyYR6Q21VydFLVH3TRQUabQu_ym0Zz7PgGX0-kHA/edit?usp=sharing"",""แผน!EG38"")"),6300)</f>
        <v>6300</v>
      </c>
      <c r="J338" s="863">
        <f ca="1">IFERROR(__xludf.DUMMYFUNCTION("IMPORTRANGE(""https://docs.google.com/spreadsheets/d/1kVcqe37tkHyjCSG3S0O1AXqVkqjo8mSIZil3BcpIysc/edit?usp=sharing"",""ศูนย์!D38"")"),3861)</f>
        <v>3861</v>
      </c>
      <c r="K338" s="864">
        <f ca="1">IF(I338&gt;0,J338*100/I338,0)</f>
        <v>61.285714285714285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IFERROR(__xludf.DUMMYFUNCTION("IMPORTRANGE(""https://docs.google.com/spreadsheets/d/1QqKyyYR6Q21VydFLVH3TRQUabQu_ym0Zz7PgGX0-kHA/edit?usp=sharing"",""แผน!EH38"")"),6)</f>
        <v>6</v>
      </c>
      <c r="J340" s="863">
        <f ca="1">IFERROR(__xludf.DUMMYFUNCTION("IMPORTRANGE(""https://docs.google.com/spreadsheets/d/1kVcqe37tkHyjCSG3S0O1AXqVkqjo8mSIZil3BcpIysc/edit?usp=sharing"",""ศูนย์!E38"")"),4)</f>
        <v>4</v>
      </c>
      <c r="K340" s="864">
        <f ca="1">IF(I340&gt;0,J340*100/I340,0)</f>
        <v>66.666666666666671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IFERROR(__xludf.DUMMYFUNCTION("IMPORTRANGE(""https://docs.google.com/spreadsheets/d/1kVcqe37tkHyjCSG3S0O1AXqVkqjo8mSIZil3BcpIysc/edit?usp=sharing"",""ศูนย์!F38"")"),226)</f>
        <v>226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IFERROR(__xludf.DUMMYFUNCTION("IMPORTRANGE(""https://docs.google.com/spreadsheets/d/1kVcqe37tkHyjCSG3S0O1AXqVkqjo8mSIZil3BcpIysc/edit?usp=sharing"",""ศูนย์!G38"")"),0)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IFERROR(__xludf.DUMMYFUNCTION("IMPORTRANGE(""https://docs.google.com/spreadsheets/d/1kVcqe37tkHyjCSG3S0O1AXqVkqjo8mSIZil3BcpIysc/edit?usp=sharing"",""ศูนย์!H38"")"),1)</f>
        <v>1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1329450</v>
      </c>
      <c r="M345" s="972">
        <f t="shared" ca="1" si="155"/>
        <v>1100730</v>
      </c>
      <c r="N345" s="972">
        <f t="shared" ca="1" si="155"/>
        <v>737540.04</v>
      </c>
      <c r="O345" s="972">
        <f t="shared" ref="O345:O353" ca="1" si="156">IF(L345&gt;0,N345*100/L345,0)</f>
        <v>55.477079995486854</v>
      </c>
      <c r="P345" s="972">
        <f t="shared" ref="P345:P353" ca="1" si="157">IF(M345&gt;0,N345*100/M345,0)</f>
        <v>67.004627837889402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1329450</v>
      </c>
      <c r="M347" s="870">
        <f t="shared" ca="1" si="158"/>
        <v>1100730</v>
      </c>
      <c r="N347" s="870">
        <f t="shared" ca="1" si="158"/>
        <v>737540.04</v>
      </c>
      <c r="O347" s="870">
        <f t="shared" ca="1" si="156"/>
        <v>55.477079995486854</v>
      </c>
      <c r="P347" s="870">
        <f t="shared" ca="1" si="157"/>
        <v>67.004627837889402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1215650</v>
      </c>
      <c r="M348" s="864">
        <f t="shared" ca="1" si="159"/>
        <v>986930</v>
      </c>
      <c r="N348" s="864">
        <f t="shared" ca="1" si="159"/>
        <v>623740.04</v>
      </c>
      <c r="O348" s="864">
        <f t="shared" ca="1" si="156"/>
        <v>51.309179451322336</v>
      </c>
      <c r="P348" s="864">
        <f t="shared" ca="1" si="157"/>
        <v>63.200028370806443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IFERROR(__xludf.DUMMYFUNCTION("IMPORTRANGE(""https://docs.google.com/spreadsheets/d/1MeEWN-I1oV_STSDYn1IFDPWt_1FKiwhDph83XaGc0o0/edit?usp=sharing"",""งบพรบ!EW38"")"),1215650)</f>
        <v>1215650</v>
      </c>
      <c r="M350" s="870">
        <f ca="1">IFERROR(__xludf.DUMMYFUNCTION("IMPORTRANGE(""https://docs.google.com/spreadsheets/d/1MeEWN-I1oV_STSDYn1IFDPWt_1FKiwhDph83XaGc0o0/edit?usp=sharing"",""งบพรบ!FB38"")"),986930)</f>
        <v>986930</v>
      </c>
      <c r="N350" s="870">
        <f ca="1">IFERROR(__xludf.DUMMYFUNCTION("IMPORTRANGE(""https://docs.google.com/spreadsheets/d/1MeEWN-I1oV_STSDYn1IFDPWt_1FKiwhDph83XaGc0o0/edit?usp=sharing"",""งบพรบ!FD38"")"),623740.04)</f>
        <v>623740.04</v>
      </c>
      <c r="O350" s="870">
        <f t="shared" ca="1" si="156"/>
        <v>51.309179451322336</v>
      </c>
      <c r="P350" s="870">
        <f t="shared" ca="1" si="157"/>
        <v>63.200028370806443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113800</v>
      </c>
      <c r="M351" s="864">
        <f t="shared" ca="1" si="160"/>
        <v>113800</v>
      </c>
      <c r="N351" s="864">
        <f t="shared" ca="1" si="160"/>
        <v>113800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IFERROR(__xludf.DUMMYFUNCTION("IMPORTRANGE(""https://docs.google.com/spreadsheets/d/1MeEWN-I1oV_STSDYn1IFDPWt_1FKiwhDph83XaGc0o0/edit?usp=sharing"",""งบพรบ!EZ38"")"),113800)</f>
        <v>113800</v>
      </c>
      <c r="M353" s="870">
        <f ca="1">IFERROR(__xludf.DUMMYFUNCTION("IMPORTRANGE(""https://docs.google.com/spreadsheets/d/1MeEWN-I1oV_STSDYn1IFDPWt_1FKiwhDph83XaGc0o0/edit?usp=sharing"",""งบพรบ!FC38"")"),113800)</f>
        <v>113800</v>
      </c>
      <c r="N353" s="870">
        <f ca="1">IFERROR(__xludf.DUMMYFUNCTION("IMPORTRANGE(""https://docs.google.com/spreadsheets/d/1MeEWN-I1oV_STSDYn1IFDPWt_1FKiwhDph83XaGc0o0/edit?usp=sharing"",""งบพรบ!FE38"")"),113800)</f>
        <v>113800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IFERROR(__xludf.DUMMYFUNCTION("IMPORTRANGE(""https://docs.google.com/spreadsheets/d/1QqKyyYR6Q21VydFLVH3TRQUabQu_ym0Zz7PgGX0-kHA/edit?usp=sharing"",""แผน!EP38"")"),696)</f>
        <v>696</v>
      </c>
      <c r="J355" s="1186">
        <f ca="1">J362</f>
        <v>154</v>
      </c>
      <c r="K355" s="1187">
        <f ca="1">IF(I355&gt;0,J355*100/I355,0)</f>
        <v>22.126436781609197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IFERROR(__xludf.DUMMYFUNCTION("IMPORTRANGE(""https://docs.google.com/spreadsheets/d/1XWAQStnk-4SwqDmLtmXYiTMKHgktTP8We1SCoS47DrQ/edit?usp=sharing"",""จัดที่ดิน!W38"")"),429)</f>
        <v>429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IFERROR(__xludf.DUMMYFUNCTION("IMPORTRANGE(""https://docs.google.com/spreadsheets/d/1QqKyyYR6Q21VydFLVH3TRQUabQu_ym0Zz7PgGX0-kHA/edit?usp=sharing"",""แผน!EO38"")"),6960)</f>
        <v>6960</v>
      </c>
      <c r="J359" s="863">
        <f ca="1">IFERROR(__xludf.DUMMYFUNCTION("IMPORTRANGE(""https://docs.google.com/spreadsheets/d/1XWAQStnk-4SwqDmLtmXYiTMKHgktTP8We1SCoS47DrQ/edit?usp=sharing"",""จัดที่ดิน!X38"")"),2669.36)</f>
        <v>2669.36</v>
      </c>
      <c r="K359" s="864">
        <f t="shared" ca="1" si="161"/>
        <v>38.352873563218388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IFERROR(__xludf.DUMMYFUNCTION("IMPORTRANGE(""https://docs.google.com/spreadsheets/d/1QqKyyYR6Q21VydFLVH3TRQUabQu_ym0Zz7PgGX0-kHA/edit?usp=sharing"",""แผน!EP38"")"),696)</f>
        <v>696</v>
      </c>
      <c r="J360" s="863">
        <f ca="1">IFERROR(__xludf.DUMMYFUNCTION("IMPORTRANGE(""https://docs.google.com/spreadsheets/d/1XWAQStnk-4SwqDmLtmXYiTMKHgktTP8We1SCoS47DrQ/edit?usp=sharing"",""จัดที่ดิน!Y38"")"),270)</f>
        <v>270</v>
      </c>
      <c r="K360" s="864">
        <f t="shared" ca="1" si="161"/>
        <v>38.793103448275865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IFERROR(__xludf.DUMMYFUNCTION("IMPORTRANGE(""https://docs.google.com/spreadsheets/d/1XWAQStnk-4SwqDmLtmXYiTMKHgktTP8We1SCoS47DrQ/edit?usp=sharing"",""จัดที่ดิน!Z38"")"),1608.18)</f>
        <v>1608.18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IFERROR(__xludf.DUMMYFUNCTION("IMPORTRANGE(""https://docs.google.com/spreadsheets/d/1QqKyyYR6Q21VydFLVH3TRQUabQu_ym0Zz7PgGX0-kHA/edit?usp=sharing"",""แผน!EP38"")"),696)</f>
        <v>696</v>
      </c>
      <c r="J362" s="863">
        <f ca="1">IFERROR(__xludf.DUMMYFUNCTION("IMPORTRANGE(""https://docs.google.com/spreadsheets/d/1XWAQStnk-4SwqDmLtmXYiTMKHgktTP8We1SCoS47DrQ/edit?usp=sharing"",""จัดที่ดิน!AA38"")"),154)</f>
        <v>154</v>
      </c>
      <c r="K362" s="864">
        <f t="shared" ca="1" si="161"/>
        <v>22.126436781609197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IFERROR(__xludf.DUMMYFUNCTION("IMPORTRANGE(""https://docs.google.com/spreadsheets/d/1XWAQStnk-4SwqDmLtmXYiTMKHgktTP8We1SCoS47DrQ/edit?usp=sharing"",""จัดที่ดิน!AB38"")"),1193.76)</f>
        <v>1193.76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1236</v>
      </c>
      <c r="J364" s="1199">
        <f t="shared" ca="1" si="162"/>
        <v>531</v>
      </c>
      <c r="K364" s="1200">
        <f t="shared" ca="1" si="161"/>
        <v>42.961165048543691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IFERROR(__xludf.DUMMYFUNCTION("IMPORTRANGE(""https://docs.google.com/spreadsheets/d/1QqKyyYR6Q21VydFLVH3TRQUabQu_ym0Zz7PgGX0-kHA/edit?usp=sharing"",""แผน!EJ38"")"),496)</f>
        <v>496</v>
      </c>
      <c r="J365" s="1207">
        <f ca="1">J372</f>
        <v>154</v>
      </c>
      <c r="K365" s="1208">
        <f t="shared" ca="1" si="161"/>
        <v>31.048387096774192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IFERROR(__xludf.DUMMYFUNCTION("IMPORTRANGE(""https://docs.google.com/spreadsheets/d/1XWAQStnk-4SwqDmLtmXYiTMKHgktTP8We1SCoS47DrQ/edit?usp=sharing"",""จัดที่ดิน!E38"")"),346)</f>
        <v>346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IFERROR(__xludf.DUMMYFUNCTION("IMPORTRANGE(""https://docs.google.com/spreadsheets/d/1QqKyyYR6Q21VydFLVH3TRQUabQu_ym0Zz7PgGX0-kHA/edit?usp=sharing"",""แผน!EI38"")"),4960)</f>
        <v>4960</v>
      </c>
      <c r="J369" s="863">
        <f ca="1">IFERROR(__xludf.DUMMYFUNCTION("IMPORTRANGE(""https://docs.google.com/spreadsheets/d/1XWAQStnk-4SwqDmLtmXYiTMKHgktTP8We1SCoS47DrQ/edit?usp=sharing"",""จัดที่ดิน!F38"")"),2026.78)</f>
        <v>2026.78</v>
      </c>
      <c r="K369" s="864">
        <f t="shared" ca="1" si="163"/>
        <v>40.862499999999997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IFERROR(__xludf.DUMMYFUNCTION("IMPORTRANGE(""https://docs.google.com/spreadsheets/d/1QqKyyYR6Q21VydFLVH3TRQUabQu_ym0Zz7PgGX0-kHA/edit?usp=sharing"",""แผน!EJ38"")"),496)</f>
        <v>496</v>
      </c>
      <c r="J370" s="863">
        <f ca="1">IFERROR(__xludf.DUMMYFUNCTION("IMPORTRANGE(""https://docs.google.com/spreadsheets/d/1XWAQStnk-4SwqDmLtmXYiTMKHgktTP8We1SCoS47DrQ/edit?usp=sharing"",""จัดที่ดิน!G38"")"),270)</f>
        <v>270</v>
      </c>
      <c r="K370" s="864">
        <f t="shared" ca="1" si="163"/>
        <v>54.435483870967744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IFERROR(__xludf.DUMMYFUNCTION("IMPORTRANGE(""https://docs.google.com/spreadsheets/d/1XWAQStnk-4SwqDmLtmXYiTMKHgktTP8We1SCoS47DrQ/edit?usp=sharing"",""จัดที่ดิน!H38"")"),1608.18)</f>
        <v>1608.18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IFERROR(__xludf.DUMMYFUNCTION("IMPORTRANGE(""https://docs.google.com/spreadsheets/d/1QqKyyYR6Q21VydFLVH3TRQUabQu_ym0Zz7PgGX0-kHA/edit?usp=sharing"",""แผน!EJ38"")"),496)</f>
        <v>496</v>
      </c>
      <c r="J372" s="863">
        <f ca="1">IFERROR(__xludf.DUMMYFUNCTION("IMPORTRANGE(""https://docs.google.com/spreadsheets/d/1XWAQStnk-4SwqDmLtmXYiTMKHgktTP8We1SCoS47DrQ/edit?usp=sharing"",""จัดที่ดิน!I38"")"),154)</f>
        <v>154</v>
      </c>
      <c r="K372" s="864">
        <f t="shared" ca="1" si="163"/>
        <v>31.048387096774192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IFERROR(__xludf.DUMMYFUNCTION("IMPORTRANGE(""https://docs.google.com/spreadsheets/d/1XWAQStnk-4SwqDmLtmXYiTMKHgktTP8We1SCoS47DrQ/edit?usp=sharing"",""จัดที่ดิน!J38"")"),1193.76)</f>
        <v>1193.76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IFERROR(__xludf.DUMMYFUNCTION("IMPORTRANGE(""https://docs.google.com/spreadsheets/d/1QqKyyYR6Q21VydFLVH3TRQUabQu_ym0Zz7PgGX0-kHA/edit?usp=sharing"",""แผน!EU38"")"),740)</f>
        <v>740</v>
      </c>
      <c r="J374" s="1207">
        <f ca="1">J381</f>
        <v>377</v>
      </c>
      <c r="K374" s="1208">
        <f t="shared" ca="1" si="163"/>
        <v>50.945945945945944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IFERROR(__xludf.DUMMYFUNCTION("IMPORTRANGE(""https://docs.google.com/spreadsheets/d/1XWAQStnk-4SwqDmLtmXYiTMKHgktTP8We1SCoS47DrQ/edit?usp=sharing"",""จัดที่ดิน!AH38"")"),83)</f>
        <v>83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IFERROR(__xludf.DUMMYFUNCTION("IMPORTRANGE(""https://docs.google.com/spreadsheets/d/1QqKyyYR6Q21VydFLVH3TRQUabQu_ym0Zz7PgGX0-kHA/edit?usp=sharing"",""แผน!ET38"")"),2000)</f>
        <v>2000</v>
      </c>
      <c r="J378" s="863">
        <f ca="1">IFERROR(__xludf.DUMMYFUNCTION("IMPORTRANGE(""https://docs.google.com/spreadsheets/d/1XWAQStnk-4SwqDmLtmXYiTMKHgktTP8We1SCoS47DrQ/edit?usp=sharing"",""จัดที่ดิน!AI38"")"),642.58)</f>
        <v>642.58000000000004</v>
      </c>
      <c r="K378" s="864">
        <f t="shared" ca="1" si="164"/>
        <v>32.129000000000005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IFERROR(__xludf.DUMMYFUNCTION("IMPORTRANGE(""https://docs.google.com/spreadsheets/d/1QqKyyYR6Q21VydFLVH3TRQUabQu_ym0Zz7PgGX0-kHA/edit?usp=sharing"",""แผน!EU38"")"),740)</f>
        <v>740</v>
      </c>
      <c r="J379" s="863">
        <f ca="1">IFERROR(__xludf.DUMMYFUNCTION("IMPORTRANGE(""https://docs.google.com/spreadsheets/d/1XWAQStnk-4SwqDmLtmXYiTMKHgktTP8We1SCoS47DrQ/edit?usp=sharing"",""จัดที่ดิน!AJ38"")"),380)</f>
        <v>380</v>
      </c>
      <c r="K379" s="864">
        <f t="shared" ca="1" si="164"/>
        <v>51.351351351351354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IFERROR(__xludf.DUMMYFUNCTION("IMPORTRANGE(""https://docs.google.com/spreadsheets/d/1XWAQStnk-4SwqDmLtmXYiTMKHgktTP8We1SCoS47DrQ/edit?usp=sharing"",""จัดที่ดิน!AK38"")"),4001.17)</f>
        <v>4001.17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IFERROR(__xludf.DUMMYFUNCTION("IMPORTRANGE(""https://docs.google.com/spreadsheets/d/1QqKyyYR6Q21VydFLVH3TRQUabQu_ym0Zz7PgGX0-kHA/edit?usp=sharing"",""แผน!EU38"")"),740)</f>
        <v>740</v>
      </c>
      <c r="J381" s="863">
        <f ca="1">IFERROR(__xludf.DUMMYFUNCTION("IMPORTRANGE(""https://docs.google.com/spreadsheets/d/1XWAQStnk-4SwqDmLtmXYiTMKHgktTP8We1SCoS47DrQ/edit?usp=sharing"",""จัดที่ดิน!AL38"")"),377)</f>
        <v>377</v>
      </c>
      <c r="K381" s="864">
        <f t="shared" ca="1" si="164"/>
        <v>50.945945945945944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IFERROR(__xludf.DUMMYFUNCTION("IMPORTRANGE(""https://docs.google.com/spreadsheets/d/1XWAQStnk-4SwqDmLtmXYiTMKHgktTP8We1SCoS47DrQ/edit?usp=sharing"",""จัดที่ดิน!AM38"")"),3969.11)</f>
        <v>3969.11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IFERROR(__xludf.DUMMYFUNCTION("IMPORTRANGE(""https://docs.google.com/spreadsheets/d/1QqKyyYR6Q21VydFLVH3TRQUabQu_ym0Zz7PgGX0-kHA/edit?usp=sharing"",""แผน!EW38"")"),50)</f>
        <v>50</v>
      </c>
      <c r="J385" s="1117">
        <f ca="1">IFERROR(__xludf.DUMMYFUNCTION("IMPORTRANGE(""https://docs.google.com/spreadsheets/d/1XWAQStnk-4SwqDmLtmXYiTMKHgktTP8We1SCoS47DrQ/edit?usp=sharing"",""จัดที่ดิน!AP38"")"),0)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IFERROR(__xludf.DUMMYFUNCTION("IMPORTRANGE(""https://docs.google.com/spreadsheets/d/1MeEWN-I1oV_STSDYn1IFDPWt_1FKiwhDph83XaGc0o0/edit?usp=sharing"",""งบพรบ!FG38"")"),0)</f>
        <v>0</v>
      </c>
      <c r="M394" s="870">
        <f ca="1">IFERROR(__xludf.DUMMYFUNCTION("IMPORTRANGE(""https://docs.google.com/spreadsheets/d/1MeEWN-I1oV_STSDYn1IFDPWt_1FKiwhDph83XaGc0o0/edit?usp=sharing"",""งบพรบ!FL38"")"),0)</f>
        <v>0</v>
      </c>
      <c r="N394" s="870">
        <f ca="1">IFERROR(__xludf.DUMMYFUNCTION("IMPORTRANGE(""https://docs.google.com/spreadsheets/d/1MeEWN-I1oV_STSDYn1IFDPWt_1FKiwhDph83XaGc0o0/edit?usp=sharing"",""งบพรบ!FN38"")"),0)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IFERROR(__xludf.DUMMYFUNCTION("IMPORTRANGE(""https://docs.google.com/spreadsheets/d/1MeEWN-I1oV_STSDYn1IFDPWt_1FKiwhDph83XaGc0o0/edit?usp=sharing"",""งบพรบ!FJ38"")"),0)</f>
        <v>0</v>
      </c>
      <c r="M397" s="870">
        <f ca="1">IFERROR(__xludf.DUMMYFUNCTION("IMPORTRANGE(""https://docs.google.com/spreadsheets/d/1MeEWN-I1oV_STSDYn1IFDPWt_1FKiwhDph83XaGc0o0/edit?usp=sharing"",""งบพรบ!FM38"")"),0)</f>
        <v>0</v>
      </c>
      <c r="N397" s="870">
        <f ca="1">IFERROR(__xludf.DUMMYFUNCTION("IMPORTRANGE(""https://docs.google.com/spreadsheets/d/1MeEWN-I1oV_STSDYn1IFDPWt_1FKiwhDph83XaGc0o0/edit?usp=sharing"",""งบพรบ!FO38"")"),0)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IFERROR(__xludf.DUMMYFUNCTION("IMPORTRANGE(""https://docs.google.com/spreadsheets/d/1MeEWN-I1oV_STSDYn1IFDPWt_1FKiwhDph83XaGc0o0/edit?usp=sharing"",""งบพรบ!FQ38"")"),0)</f>
        <v>0</v>
      </c>
      <c r="M407" s="870">
        <f ca="1">IFERROR(__xludf.DUMMYFUNCTION("IMPORTRANGE(""https://docs.google.com/spreadsheets/d/1MeEWN-I1oV_STSDYn1IFDPWt_1FKiwhDph83XaGc0o0/edit?usp=sharing"",""งบพรบ!FV38"")"),0)</f>
        <v>0</v>
      </c>
      <c r="N407" s="870">
        <f ca="1">IFERROR(__xludf.DUMMYFUNCTION("IMPORTRANGE(""https://docs.google.com/spreadsheets/d/1MeEWN-I1oV_STSDYn1IFDPWt_1FKiwhDph83XaGc0o0/edit?usp=sharing"",""งบพรบ!FX38"")"),0)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IFERROR(__xludf.DUMMYFUNCTION("IMPORTRANGE(""https://docs.google.com/spreadsheets/d/1MeEWN-I1oV_STSDYn1IFDPWt_1FKiwhDph83XaGc0o0/edit?usp=sharing"",""งบพรบ!FT38"")"),0)</f>
        <v>0</v>
      </c>
      <c r="M410" s="870">
        <f ca="1">IFERROR(__xludf.DUMMYFUNCTION("IMPORTRANGE(""https://docs.google.com/spreadsheets/d/1MeEWN-I1oV_STSDYn1IFDPWt_1FKiwhDph83XaGc0o0/edit?usp=sharing"",""งบพรบ!FW38"")"),0)</f>
        <v>0</v>
      </c>
      <c r="N410" s="870">
        <f ca="1">IFERROR(__xludf.DUMMYFUNCTION("IMPORTRANGE(""https://docs.google.com/spreadsheets/d/1MeEWN-I1oV_STSDYn1IFDPWt_1FKiwhDph83XaGc0o0/edit?usp=sharing"",""งบพรบ!FY38"")"),0)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3094033</v>
      </c>
      <c r="M414" s="1257">
        <f t="shared" si="181"/>
        <v>0</v>
      </c>
      <c r="N414" s="1257">
        <f t="shared" si="181"/>
        <v>672401.7</v>
      </c>
      <c r="O414" s="1257">
        <f ca="1">IF(L414&gt;0,N414*100/L414,0)</f>
        <v>21.732208415359501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79660</v>
      </c>
      <c r="M419" s="972">
        <f t="shared" si="184"/>
        <v>0</v>
      </c>
      <c r="N419" s="972">
        <f t="shared" si="184"/>
        <v>38425</v>
      </c>
      <c r="O419" s="972">
        <f t="shared" ref="O419:O424" ca="1" si="185">IF(L419&gt;0,N419*100/L419,0)</f>
        <v>48.23625407983932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79660</v>
      </c>
      <c r="M421" s="870">
        <f t="shared" si="187"/>
        <v>0</v>
      </c>
      <c r="N421" s="870">
        <f t="shared" si="187"/>
        <v>38425</v>
      </c>
      <c r="O421" s="870">
        <f t="shared" ca="1" si="185"/>
        <v>48.23625407983932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79660</v>
      </c>
      <c r="M422" s="864">
        <f t="shared" si="188"/>
        <v>0</v>
      </c>
      <c r="N422" s="864">
        <f t="shared" si="188"/>
        <v>38425</v>
      </c>
      <c r="O422" s="864">
        <f t="shared" ca="1" si="185"/>
        <v>48.23625407983932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IFERROR(__xludf.DUMMYFUNCTION("IMPORTRANGE(""https://docs.google.com/spreadsheets/d/1QqKyyYR6Q21VydFLVH3TRQUabQu_ym0Zz7PgGX0-kHA/edit?usp=sharing"",""แผน!EY38"")"),79660)</f>
        <v>79660</v>
      </c>
      <c r="M424" s="870">
        <v>0</v>
      </c>
      <c r="N424" s="870">
        <f>N425+N426+N427+N428</f>
        <v>38425</v>
      </c>
      <c r="O424" s="870">
        <f t="shared" ca="1" si="185"/>
        <v>48.23625407983932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34875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3550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IFERROR(__xludf.DUMMYFUNCTION("IMPORTRANGE(""https://docs.google.com/spreadsheets/d/1QqKyyYR6Q21VydFLVH3TRQUabQu_ym0Zz7PgGX0-kHA/edit?usp=sharing"",""แผน!FB38"")"),0)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IFERROR(__xludf.DUMMYFUNCTION("IMPORTRANGE(""https://docs.google.com/spreadsheets/d/1QqKyyYR6Q21VydFLVH3TRQUabQu_ym0Zz7PgGX0-kHA/edit?usp=sharing"",""แผน!FC38"")"),20)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IFERROR(__xludf.DUMMYFUNCTION("IMPORTRANGE(""https://docs.google.com/spreadsheets/d/1QqKyyYR6Q21VydFLVH3TRQUabQu_ym0Zz7PgGX0-kHA/edit?usp=sharing"",""แผน!FD38"")"),0)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IFERROR(__xludf.DUMMYFUNCTION("IMPORTRANGE(""https://docs.google.com/spreadsheets/d/1QqKyyYR6Q21VydFLVH3TRQUabQu_ym0Zz7PgGX0-kHA/edit?usp=sharing"",""แผน!FE38"")"),0)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IFERROR(__xludf.DUMMYFUNCTION("IMPORTRANGE(""https://docs.google.com/spreadsheets/d/1QqKyyYR6Q21VydFLVH3TRQUabQu_ym0Zz7PgGX0-kHA/edit?usp=sharing"",""แผน!FF38"")"),20)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IFERROR(__xludf.DUMMYFUNCTION("IMPORTRANGE(""https://docs.google.com/spreadsheets/d/1QqKyyYR6Q21VydFLVH3TRQUabQu_ym0Zz7PgGX0-kHA/edit?usp=sharing"",""แผน!FG38"")"),1)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IFERROR(__xludf.DUMMYFUNCTION("IMPORTRANGE(""https://docs.google.com/spreadsheets/d/1QqKyyYR6Q21VydFLVH3TRQUabQu_ym0Zz7PgGX0-kHA/edit?usp=sharing"",""แผน!FH38"")"),0)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55</v>
      </c>
      <c r="J442" s="1285">
        <f t="shared" si="195"/>
        <v>55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550</v>
      </c>
      <c r="J443" s="1270">
        <f t="shared" si="196"/>
        <v>550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717500</v>
      </c>
      <c r="M444" s="1000">
        <f t="shared" si="197"/>
        <v>0</v>
      </c>
      <c r="N444" s="1000">
        <f t="shared" si="197"/>
        <v>87430</v>
      </c>
      <c r="O444" s="1000">
        <f t="shared" ref="O444:O449" ca="1" si="198">IF(L444&gt;0,N444*100/L444,0)</f>
        <v>12.185365853658537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717500</v>
      </c>
      <c r="M446" s="870">
        <f t="shared" si="200"/>
        <v>0</v>
      </c>
      <c r="N446" s="870">
        <f t="shared" si="200"/>
        <v>87430</v>
      </c>
      <c r="O446" s="870">
        <f t="shared" ca="1" si="198"/>
        <v>12.185365853658537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717500</v>
      </c>
      <c r="M447" s="864">
        <f t="shared" si="201"/>
        <v>0</v>
      </c>
      <c r="N447" s="864">
        <f t="shared" si="201"/>
        <v>87430</v>
      </c>
      <c r="O447" s="864">
        <f t="shared" ca="1" si="198"/>
        <v>12.185365853658537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IFERROR(__xludf.DUMMYFUNCTION("IMPORTRANGE(""https://docs.google.com/spreadsheets/d/1QqKyyYR6Q21VydFLVH3TRQUabQu_ym0Zz7PgGX0-kHA/edit?usp=sharing"",""แผน!FJ38"")"),717500)</f>
        <v>717500</v>
      </c>
      <c r="M449" s="870">
        <v>0</v>
      </c>
      <c r="N449" s="870">
        <f>N450+N451+N452+N453</f>
        <v>87430</v>
      </c>
      <c r="O449" s="870">
        <f t="shared" ca="1" si="198"/>
        <v>12.185365853658537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35430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IFERROR(__xludf.DUMMYFUNCTION("IMPORTRANGE(""https://docs.google.com/spreadsheets/d/1QqKyyYR6Q21VydFLVH3TRQUabQu_ym0Zz7PgGX0-kHA/edit?usp=sharing"",""แผน!FM38"")"),0)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IFERROR(__xludf.DUMMYFUNCTION("IMPORTRANGE(""https://docs.google.com/spreadsheets/d/1QqKyyYR6Q21VydFLVH3TRQUabQu_ym0Zz7PgGX0-kHA/edit?usp=sharing"",""แผน!FN38"")"),55)</f>
        <v>55</v>
      </c>
      <c r="J460" s="992">
        <v>55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IFERROR(__xludf.DUMMYFUNCTION("IMPORTRANGE(""https://docs.google.com/spreadsheets/d/1QqKyyYR6Q21VydFLVH3TRQUabQu_ym0Zz7PgGX0-kHA/edit?usp=sharing"",""แผน!FO38"")"),550)</f>
        <v>550</v>
      </c>
      <c r="J462" s="992">
        <v>550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IFERROR(__xludf.DUMMYFUNCTION("IMPORTRANGE(""https://docs.google.com/spreadsheets/d/1QqKyyYR6Q21VydFLVH3TRQUabQu_ym0Zz7PgGX0-kHA/edit?usp=sharing"",""แผน!FO38"")"),550)</f>
        <v>550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IFERROR(__xludf.DUMMYFUNCTION("IMPORTRANGE(""https://docs.google.com/spreadsheets/d/1QqKyyYR6Q21VydFLVH3TRQUabQu_ym0Zz7PgGX0-kHA/edit?usp=sharing"",""แผน!FN38"")"),55)</f>
        <v>55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IFERROR(__xludf.DUMMYFUNCTION("IMPORTRANGE(""https://docs.google.com/spreadsheets/d/1QqKyyYR6Q21VydFLVH3TRQUabQu_ym0Zz7PgGX0-kHA/edit?usp=sharing"",""แผน!FX38"")"),131)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IFERROR(__xludf.DUMMYFUNCTION("IMPORTRANGE(""https://docs.google.com/spreadsheets/d/1QqKyyYR6Q21VydFLVH3TRQUabQu_ym0Zz7PgGX0-kHA/edit?usp=sharing"",""แผน!FW38"")"),1300)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1168168</v>
      </c>
      <c r="M467" s="1000">
        <f t="shared" si="206"/>
        <v>0</v>
      </c>
      <c r="N467" s="1000">
        <f t="shared" si="206"/>
        <v>206680.2</v>
      </c>
      <c r="O467" s="1000">
        <f t="shared" ref="O467:O472" ca="1" si="207">IF(L467&gt;0,N467*100/L467,0)</f>
        <v>17.692677765526877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1168168</v>
      </c>
      <c r="M469" s="870">
        <f t="shared" si="209"/>
        <v>0</v>
      </c>
      <c r="N469" s="870">
        <f t="shared" si="209"/>
        <v>206680.2</v>
      </c>
      <c r="O469" s="870">
        <f t="shared" ca="1" si="207"/>
        <v>17.692677765526877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1168168</v>
      </c>
      <c r="M470" s="864">
        <f t="shared" si="210"/>
        <v>0</v>
      </c>
      <c r="N470" s="864">
        <f t="shared" si="210"/>
        <v>206680.2</v>
      </c>
      <c r="O470" s="864">
        <f t="shared" ca="1" si="207"/>
        <v>17.692677765526877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IFERROR(__xludf.DUMMYFUNCTION("IMPORTRANGE(""https://docs.google.com/spreadsheets/d/1QqKyyYR6Q21VydFLVH3TRQUabQu_ym0Zz7PgGX0-kHA/edit?usp=sharing"",""แผน!FS38"")"),1168168)</f>
        <v>1168168</v>
      </c>
      <c r="M472" s="870">
        <v>0</v>
      </c>
      <c r="N472" s="870">
        <f>N473+N474+N475+N476</f>
        <v>206680.2</v>
      </c>
      <c r="O472" s="870">
        <f t="shared" ca="1" si="207"/>
        <v>17.692677765526877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146340.20000000001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52000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8340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IFERROR(__xludf.DUMMYFUNCTION("IMPORTRANGE(""https://docs.google.com/spreadsheets/d/1QqKyyYR6Q21VydFLVH3TRQUabQu_ym0Zz7PgGX0-kHA/edit?usp=sharing"",""แผน!FV38"")"),0)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IFERROR(__xludf.DUMMYFUNCTION("IMPORTRANGE(""https://docs.google.com/spreadsheets/d/1QqKyyYR6Q21VydFLVH3TRQUabQu_ym0Zz7PgGX0-kHA/edit?usp=sharing"",""แผน!FY38"")"),1170)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IFERROR(__xludf.DUMMYFUNCTION("IMPORTRANGE(""https://docs.google.com/spreadsheets/d/1QqKyyYR6Q21VydFLVH3TRQUabQu_ym0Zz7PgGX0-kHA/edit?usp=sharing"",""แผน!FZ38"")"),117)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IFERROR(__xludf.DUMMYFUNCTION("IMPORTRANGE(""https://docs.google.com/spreadsheets/d/1QqKyyYR6Q21VydFLVH3TRQUabQu_ym0Zz7PgGX0-kHA/edit?usp=sharing"",""แผน!GA38"")"),130)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IFERROR(__xludf.DUMMYFUNCTION("IMPORTRANGE(""https://docs.google.com/spreadsheets/d/1QqKyyYR6Q21VydFLVH3TRQUabQu_ym0Zz7PgGX0-kHA/edit?usp=sharing"",""แผน!GB38"")"),13)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IFERROR(__xludf.DUMMYFUNCTION("IMPORTRANGE(""https://docs.google.com/spreadsheets/d/1QqKyyYR6Q21VydFLVH3TRQUabQu_ym0Zz7PgGX0-kHA/edit?usp=sharing"",""แผน!GC38"")"),1)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IFERROR(__xludf.DUMMYFUNCTION("IMPORTRANGE(""https://docs.google.com/spreadsheets/d/1QqKyyYR6Q21VydFLVH3TRQUabQu_ym0Zz7PgGX0-kHA/edit?usp=sharing"",""แผน!FY38"")"),1170)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IFERROR(__xludf.DUMMYFUNCTION("IMPORTRANGE(""https://docs.google.com/spreadsheets/d/1QqKyyYR6Q21VydFLVH3TRQUabQu_ym0Zz7PgGX0-kHA/edit?usp=sharing"",""แผน!GA38"")"),130)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IFERROR(__xludf.DUMMYFUNCTION("IMPORTRANGE(""https://docs.google.com/spreadsheets/d/1QqKyyYR6Q21VydFLVH3TRQUabQu_ym0Zz7PgGX0-kHA/edit?usp=sharing"",""แผน!GQ38"")"),0)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IFERROR(__xludf.DUMMYFUNCTION("IMPORTRANGE(""https://docs.google.com/spreadsheets/d/1QqKyyYR6Q21VydFLVH3TRQUabQu_ym0Zz7PgGX0-kHA/edit?usp=sharing"",""แผน!GT38"")"),0)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IFERROR(__xludf.DUMMYFUNCTION("IMPORTRANGE(""https://docs.google.com/spreadsheets/d/1QqKyyYR6Q21VydFLVH3TRQUabQu_ym0Zz7PgGX0-kHA/edit?usp=sharing"",""แผน!GU38"")"),0)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IFERROR(__xludf.DUMMYFUNCTION("IMPORTRANGE(""https://docs.google.com/spreadsheets/d/1QqKyyYR6Q21VydFLVH3TRQUabQu_ym0Zz7PgGX0-kHA/edit?usp=sharing"",""แผน!GV38"")"),0)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IFERROR(__xludf.DUMMYFUNCTION("IMPORTRANGE(""https://docs.google.com/spreadsheets/d/1QqKyyYR6Q21VydFLVH3TRQUabQu_ym0Zz7PgGX0-kHA/edit?usp=sharing"",""แผน!GW38"")"),0)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IFERROR(__xludf.DUMMYFUNCTION("IMPORTRANGE(""https://docs.google.com/spreadsheets/d/1QqKyyYR6Q21VydFLVH3TRQUabQu_ym0Zz7PgGX0-kHA/edit?usp=sharing"",""แผน!GX38"")"),0)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IFERROR(__xludf.DUMMYFUNCTION("IMPORTRANGE(""https://docs.google.com/spreadsheets/d/1QqKyyYR6Q21VydFLVH3TRQUabQu_ym0Zz7PgGX0-kHA/edit?usp=sharing"",""แผน!GY38"")"),0)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IFERROR(__xludf.DUMMYFUNCTION("IMPORTRANGE(""https://docs.google.com/spreadsheets/d/1QqKyyYR6Q21VydFLVH3TRQUabQu_ym0Zz7PgGX0-kHA/edit?usp=sharing"",""แผน!GZ38"")"),0)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52289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542720</v>
      </c>
      <c r="M544" s="972">
        <f t="shared" si="236"/>
        <v>0</v>
      </c>
      <c r="N544" s="972">
        <f t="shared" si="236"/>
        <v>183402.5</v>
      </c>
      <c r="O544" s="972">
        <f t="shared" ref="O544:O549" ca="1" si="237">IF(L544&gt;0,N544*100/L544,0)</f>
        <v>33.793208284198116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542720</v>
      </c>
      <c r="M546" s="870">
        <f t="shared" si="240"/>
        <v>0</v>
      </c>
      <c r="N546" s="870">
        <f t="shared" si="240"/>
        <v>183402.5</v>
      </c>
      <c r="O546" s="870">
        <f t="shared" ca="1" si="237"/>
        <v>33.793208284198116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542720</v>
      </c>
      <c r="M547" s="864">
        <f t="shared" si="241"/>
        <v>0</v>
      </c>
      <c r="N547" s="864">
        <f t="shared" si="241"/>
        <v>183402.5</v>
      </c>
      <c r="O547" s="864">
        <f t="shared" ca="1" si="237"/>
        <v>33.793208284198116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IFERROR(__xludf.DUMMYFUNCTION("IMPORTRANGE(""https://docs.google.com/spreadsheets/d/1QqKyyYR6Q21VydFLVH3TRQUabQu_ym0Zz7PgGX0-kHA/edit?usp=sharing"",""แผน!HB38"")"),542720)</f>
        <v>542720</v>
      </c>
      <c r="M549" s="870">
        <v>0</v>
      </c>
      <c r="N549" s="870">
        <f>N550+N551+N552+N553+N554</f>
        <v>183402.5</v>
      </c>
      <c r="O549" s="870">
        <f t="shared" ca="1" si="237"/>
        <v>33.793208284198116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131402.5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IFERROR(__xludf.DUMMYFUNCTION("IMPORTRANGE(""https://docs.google.com/spreadsheets/d/1QqKyyYR6Q21VydFLVH3TRQUabQu_ym0Zz7PgGX0-kHA/edit?usp=sharing"",""แผน!HF38"")"),0)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52289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IFERROR(__xludf.DUMMYFUNCTION("IMPORTRANGE(""https://docs.google.com/spreadsheets/d/1QqKyyYR6Q21VydFLVH3TRQUabQu_ym0Zz7PgGX0-kHA/edit?usp=sharing"",""แผน!HH38"")"),52289)</f>
        <v>52289</v>
      </c>
      <c r="J560" s="998">
        <f t="shared" ref="J560:J561" si="247">J562+J564+J566</f>
        <v>52289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IFERROR(__xludf.DUMMYFUNCTION("IMPORTRANGE(""https://docs.google.com/spreadsheets/d/1QqKyyYR6Q21VydFLVH3TRQUabQu_ym0Zz7PgGX0-kHA/edit?usp=sharing"",""แผน!HG38"")"),5734)</f>
        <v>5734</v>
      </c>
      <c r="J561" s="998">
        <f t="shared" si="247"/>
        <v>5734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33275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4093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17713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1499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1301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142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IFERROR(__xludf.DUMMYFUNCTION("IMPORTRANGE(""https://docs.google.com/spreadsheets/d/1QqKyyYR6Q21VydFLVH3TRQUabQu_ym0Zz7PgGX0-kHA/edit?usp=sharing"",""แผน!HH38"")"),52289)</f>
        <v>52289</v>
      </c>
      <c r="J568" s="999">
        <f t="shared" ref="J568:J569" si="248">J570+J572+J574</f>
        <v>52289</v>
      </c>
      <c r="K568" s="1142">
        <f t="shared" ref="K568:K569" ca="1" si="249">IF(I568&gt;0,J568*100/I568,0)</f>
        <v>100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IFERROR(__xludf.DUMMYFUNCTION("IMPORTRANGE(""https://docs.google.com/spreadsheets/d/1QqKyyYR6Q21VydFLVH3TRQUabQu_ym0Zz7PgGX0-kHA/edit?usp=sharing"",""แผน!HG38"")"),5734)</f>
        <v>5734</v>
      </c>
      <c r="J569" s="999">
        <f t="shared" si="248"/>
        <v>5734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38607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4489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12576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1119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1106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126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IFERROR(__xludf.DUMMYFUNCTION("IMPORTRANGE(""https://docs.google.com/spreadsheets/d/1QqKyyYR6Q21VydFLVH3TRQUabQu_ym0Zz7PgGX0-kHA/edit?usp=sharing"",""แผน!HH38"")"),52289)</f>
        <v>52289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IFERROR(__xludf.DUMMYFUNCTION("IMPORTRANGE(""https://docs.google.com/spreadsheets/d/1QqKyyYR6Q21VydFLVH3TRQUabQu_ym0Zz7PgGX0-kHA/edit?usp=sharing"",""แผน!HG38"")"),5734)</f>
        <v>5734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7857.35</v>
      </c>
      <c r="J592" s="1350">
        <f t="shared" si="253"/>
        <v>75</v>
      </c>
      <c r="K592" s="1351">
        <f t="shared" ref="K592:K594" ca="1" si="254">IF(I592&gt;0,J592*100/I592,0)</f>
        <v>0.95452028991962934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IFERROR(__xludf.DUMMYFUNCTION("IMPORTRANGE(""https://docs.google.com/spreadsheets/d/1QqKyyYR6Q21VydFLVH3TRQUabQu_ym0Zz7PgGX0-kHA/edit?usp=sharing"",""แผน!HJ38"")"),7857.35)</f>
        <v>7857.35</v>
      </c>
      <c r="J593" s="998">
        <f t="shared" ref="J593:J594" si="255">J595+J603+J609</f>
        <v>75</v>
      </c>
      <c r="K593" s="1142">
        <f t="shared" ca="1" si="254"/>
        <v>0.95452028991962934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IFERROR(__xludf.DUMMYFUNCTION("IMPORTRANGE(""https://docs.google.com/spreadsheets/d/1QqKyyYR6Q21VydFLVH3TRQUabQu_ym0Zz7PgGX0-kHA/edit?usp=sharing"",""แผน!HI38"")"),657)</f>
        <v>657</v>
      </c>
      <c r="J594" s="998">
        <f t="shared" si="255"/>
        <v>17</v>
      </c>
      <c r="K594" s="1142">
        <f t="shared" ca="1" si="254"/>
        <v>2.5875190258751903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74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16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56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13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18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3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1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1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1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1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IFERROR(__xludf.DUMMYFUNCTION("IMPORTRANGE(""https://docs.google.com/spreadsheets/d/1QqKyyYR6Q21VydFLVH3TRQUabQu_ym0Zz7PgGX0-kHA/edit?usp=sharing"",""แผน!HL38"")"),56)</f>
        <v>56</v>
      </c>
      <c r="J620" s="1389">
        <f t="shared" ref="J620:J621" si="260">J622+J624+J626</f>
        <v>44</v>
      </c>
      <c r="K620" s="1390">
        <f t="shared" ref="K620:K621" ca="1" si="261">IF(I620&gt;0,J620*100/I620,0)</f>
        <v>78.571428571428569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IFERROR(__xludf.DUMMYFUNCTION("IMPORTRANGE(""https://docs.google.com/spreadsheets/d/1QqKyyYR6Q21VydFLVH3TRQUabQu_ym0Zz7PgGX0-kHA/edit?usp=sharing"",""แผน!HK38"")"),4)</f>
        <v>4</v>
      </c>
      <c r="J621" s="1389">
        <f t="shared" si="260"/>
        <v>2</v>
      </c>
      <c r="K621" s="1390">
        <f t="shared" ca="1" si="261"/>
        <v>50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44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2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240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501175</v>
      </c>
      <c r="M629" s="1000">
        <f t="shared" si="263"/>
        <v>0</v>
      </c>
      <c r="N629" s="1000">
        <f t="shared" si="263"/>
        <v>116635</v>
      </c>
      <c r="O629" s="1000">
        <f t="shared" ref="O629:O634" ca="1" si="264">IF(L629&gt;0,N629*100/L629,0)</f>
        <v>23.27231007133237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501175</v>
      </c>
      <c r="M631" s="870">
        <f t="shared" si="266"/>
        <v>0</v>
      </c>
      <c r="N631" s="870">
        <f t="shared" si="266"/>
        <v>116635</v>
      </c>
      <c r="O631" s="870">
        <f t="shared" ca="1" si="264"/>
        <v>23.27231007133237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501175</v>
      </c>
      <c r="M632" s="864">
        <f t="shared" si="267"/>
        <v>0</v>
      </c>
      <c r="N632" s="864">
        <f t="shared" si="267"/>
        <v>116635</v>
      </c>
      <c r="O632" s="864">
        <f t="shared" ca="1" si="264"/>
        <v>23.27231007133237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IFERROR(__xludf.DUMMYFUNCTION("IMPORTRANGE(""https://docs.google.com/spreadsheets/d/1QqKyyYR6Q21VydFLVH3TRQUabQu_ym0Zz7PgGX0-kHA/edit?usp=sharing"",""แผน!HN38"")"),501175)</f>
        <v>501175</v>
      </c>
      <c r="M634" s="870">
        <v>0</v>
      </c>
      <c r="N634" s="870">
        <f>N635+N636+N637+N638</f>
        <v>116635</v>
      </c>
      <c r="O634" s="870">
        <f t="shared" ca="1" si="264"/>
        <v>23.27231007133237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471">
        <v>52000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64635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IFERROR(__xludf.DUMMYFUNCTION("IMPORTRANGE(""https://docs.google.com/spreadsheets/d/1QqKyyYR6Q21VydFLVH3TRQUabQu_ym0Zz7PgGX0-kHA/edit?usp=sharing"",""แผน!HQ38"")"),0)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IFERROR(__xludf.DUMMYFUNCTION("IMPORTRANGE(""https://docs.google.com/spreadsheets/d/1QqKyyYR6Q21VydFLVH3TRQUabQu_ym0Zz7PgGX0-kHA/edit?usp=sharing"",""แผน!HR38"")"),1)</f>
        <v>1</v>
      </c>
      <c r="J643" s="992">
        <v>1</v>
      </c>
      <c r="K643" s="978">
        <f t="shared" ref="K643:K652" ca="1" si="271">IF(I643&gt;0,J643*100/I643,0)</f>
        <v>100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IFERROR(__xludf.DUMMYFUNCTION("IMPORTRANGE(""https://docs.google.com/spreadsheets/d/1QqKyyYR6Q21VydFLVH3TRQUabQu_ym0Zz7PgGX0-kHA/edit?usp=sharing"",""แผน!HR38"")"),1)</f>
        <v>1</v>
      </c>
      <c r="J644" s="992">
        <v>1</v>
      </c>
      <c r="K644" s="978">
        <f t="shared" ca="1" si="271"/>
        <v>100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IFERROR(__xludf.DUMMYFUNCTION("IMPORTRANGE(""https://docs.google.com/spreadsheets/d/1XWAQStnk-4SwqDmLtmXYiTMKHgktTP8We1SCoS47DrQ/edit?usp=sharing"",""จัดที่ดิน!AS38"")"),0)</f>
        <v>0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IFERROR(__xludf.DUMMYFUNCTION("IMPORTRANGE(""https://docs.google.com/spreadsheets/d/1XWAQStnk-4SwqDmLtmXYiTMKHgktTP8We1SCoS47DrQ/edit?usp=sharing"",""จัดที่ดิน!AT38"")"),0)</f>
        <v>0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IFERROR(__xludf.DUMMYFUNCTION("IMPORTRANGE(""https://docs.google.com/spreadsheets/d/1QqKyyYR6Q21VydFLVH3TRQUabQu_ym0Zz7PgGX0-kHA/edit?usp=sharing"",""แผน!HS38"")"),240)</f>
        <v>240</v>
      </c>
      <c r="J647" s="863">
        <f ca="1">IFERROR(__xludf.DUMMYFUNCTION("IMPORTRANGE(""https://docs.google.com/spreadsheets/d/1XWAQStnk-4SwqDmLtmXYiTMKHgktTP8We1SCoS47DrQ/edit?usp=sharing"",""จัดที่ดิน!AU38"")"),136)</f>
        <v>136</v>
      </c>
      <c r="K647" s="978">
        <f t="shared" ca="1" si="271"/>
        <v>56.666666666666664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IFERROR(__xludf.DUMMYFUNCTION("IMPORTRANGE(""https://docs.google.com/spreadsheets/d/1QqKyyYR6Q21VydFLVH3TRQUabQu_ym0Zz7PgGX0-kHA/edit?usp=sharing"",""แผน!HS38"")"),240)</f>
        <v>240</v>
      </c>
      <c r="J649" s="863">
        <f ca="1">IFERROR(__xludf.DUMMYFUNCTION("IMPORTRANGE(""https://docs.google.com/spreadsheets/d/1XWAQStnk-4SwqDmLtmXYiTMKHgktTP8We1SCoS47DrQ/edit?usp=sharing"",""จัดที่ดิน!AW38"")"),0)</f>
        <v>0</v>
      </c>
      <c r="K649" s="978">
        <f t="shared" ca="1" si="271"/>
        <v>0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IFERROR(__xludf.DUMMYFUNCTION("IMPORTRANGE(""https://docs.google.com/spreadsheets/d/1XWAQStnk-4SwqDmLtmXYiTMKHgktTP8We1SCoS47DrQ/edit?usp=sharing"",""จัดที่ดิน!AX38"")"),0)</f>
        <v>0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IFERROR(__xludf.DUMMYFUNCTION("IMPORTRANGE(""https://docs.google.com/spreadsheets/d/1QqKyyYR6Q21VydFLVH3TRQUabQu_ym0Zz7PgGX0-kHA/edit?usp=sharing"",""แผน!HS38"")"),240)</f>
        <v>240</v>
      </c>
      <c r="J651" s="863">
        <f ca="1">IFERROR(__xludf.DUMMYFUNCTION("IMPORTRANGE(""https://docs.google.com/spreadsheets/d/1XWAQStnk-4SwqDmLtmXYiTMKHgktTP8We1SCoS47DrQ/edit?usp=sharing"",""จัดที่ดิน!AY38"")"),0)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IFERROR(__xludf.DUMMYFUNCTION("IMPORTRANGE(""https://docs.google.com/spreadsheets/d/1XWAQStnk-4SwqDmLtmXYiTMKHgktTP8We1SCoS47DrQ/edit?usp=sharing"",""จัดที่ดิน!AZ38"")"),0)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3100</v>
      </c>
      <c r="O655" s="1000">
        <f t="shared" ref="O655:O660" ca="1" si="274">IF(L655&gt;0,N655*100/L655,0)</f>
        <v>19.871794871794872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3100</v>
      </c>
      <c r="O657" s="870">
        <f t="shared" ca="1" si="274"/>
        <v>19.871794871794872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3100</v>
      </c>
      <c r="O658" s="864">
        <f t="shared" ca="1" si="274"/>
        <v>19.871794871794872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IFERROR(__xludf.DUMMYFUNCTION("IMPORTRANGE(""https://docs.google.com/spreadsheets/d/1QqKyyYR6Q21VydFLVH3TRQUabQu_ym0Zz7PgGX0-kHA/edit?usp=sharing"",""แผน!HV38"")"),15600)</f>
        <v>15600</v>
      </c>
      <c r="M660" s="870">
        <v>0</v>
      </c>
      <c r="N660" s="870">
        <f>N661+N662+N663+N664</f>
        <v>3100</v>
      </c>
      <c r="O660" s="870">
        <f t="shared" ca="1" si="274"/>
        <v>19.871794871794872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/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3100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IFERROR(__xludf.DUMMYFUNCTION("IMPORTRANGE(""https://docs.google.com/spreadsheets/d/1QqKyyYR6Q21VydFLVH3TRQUabQu_ym0Zz7PgGX0-kHA/edit?usp=sharing"",""แผน!IA38"")"),100)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IFERROR(__xludf.DUMMYFUNCTION("IMPORTRANGE(""https://docs.google.com/spreadsheets/d/1QqKyyYR6Q21VydFLVH3TRQUabQu_ym0Zz7PgGX0-kHA/edit?usp=sharing"",""แผน!HZ38"")"),6)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IFERROR(__xludf.DUMMYFUNCTION("IMPORTRANGE(""https://docs.google.com/spreadsheets/d/1QqKyyYR6Q21VydFLVH3TRQUabQu_ym0Zz7PgGX0-kHA/edit?usp=sharing"",""แผน!HZ38"")"),6)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1472">
        <v>77.23</v>
      </c>
      <c r="K672" s="864">
        <f t="shared" ref="K672:K675" ca="1" si="281">IF(I$669&gt;0,J672*100/I$669,0)</f>
        <v>77.23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IFERROR(__xludf.DUMMYFUNCTION("IMPORTRANGE(""https://docs.google.com/spreadsheets/d/1QqKyyYR6Q21VydFLVH3TRQUabQu_ym0Zz7PgGX0-kHA/edit?usp=sharing"",""แผน!IB38"")"),0)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69210</v>
      </c>
      <c r="M685" s="1000">
        <f t="shared" si="282"/>
        <v>0</v>
      </c>
      <c r="N685" s="1000">
        <f t="shared" si="282"/>
        <v>36729</v>
      </c>
      <c r="O685" s="1000">
        <f t="shared" ref="O685:O688" ca="1" si="283">IF(L685&gt;0,N685*100/L685,0)</f>
        <v>53.068920676202858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69210</v>
      </c>
      <c r="M687" s="870">
        <f t="shared" si="285"/>
        <v>0</v>
      </c>
      <c r="N687" s="870">
        <f t="shared" si="285"/>
        <v>36729</v>
      </c>
      <c r="O687" s="870">
        <f t="shared" ca="1" si="283"/>
        <v>53.068920676202858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69210</v>
      </c>
      <c r="M688" s="864">
        <f t="shared" si="286"/>
        <v>0</v>
      </c>
      <c r="N688" s="864">
        <f t="shared" si="286"/>
        <v>36729</v>
      </c>
      <c r="O688" s="864">
        <f t="shared" ca="1" si="283"/>
        <v>53.068920676202858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IFERROR(__xludf.DUMMYFUNCTION("IMPORTRANGE(""https://docs.google.com/spreadsheets/d/1QqKyyYR6Q21VydFLVH3TRQUabQu_ym0Zz7PgGX0-kHA/edit?usp=sharing"",""แผน!HW38"")"),69210)</f>
        <v>69210</v>
      </c>
      <c r="M690" s="870">
        <v>0</v>
      </c>
      <c r="N690" s="870">
        <f>N691+N692+N693+N694</f>
        <v>36729</v>
      </c>
      <c r="O690" s="870">
        <f ca="1">IF(L690&gt;0,N690*100/L690,0)</f>
        <v>53.068920676202858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36729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IFERROR(__xludf.DUMMYFUNCTION("IMPORTRANGE(""https://docs.google.com/spreadsheets/d/1QqKyyYR6Q21VydFLVH3TRQUabQu_ym0Zz7PgGX0-kHA/edit?usp=sharing"",""แผน!IC38"")"),0)</f>
        <v>0</v>
      </c>
      <c r="J699" s="863">
        <f ca="1">IFERROR(__xludf.DUMMYFUNCTION("IMPORTRANGE(""https://docs.google.com/spreadsheets/d/1XWAQStnk-4SwqDmLtmXYiTMKHgktTP8We1SCoS47DrQ/edit?usp=sharing"",""จัดที่ดิน!BB38"")"),0)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IFERROR(__xludf.DUMMYFUNCTION("IMPORTRANGE(""https://docs.google.com/spreadsheets/d/1QqKyyYR6Q21VydFLVH3TRQUabQu_ym0Zz7PgGX0-kHA/edit?usp=sharing"",""แผน!ID38"")"),0)</f>
        <v>0</v>
      </c>
      <c r="J700" s="863">
        <f ca="1">IFERROR(__xludf.DUMMYFUNCTION("IMPORTRANGE(""https://docs.google.com/spreadsheets/d/1XWAQStnk-4SwqDmLtmXYiTMKHgktTP8We1SCoS47DrQ/edit?usp=sharing"",""จัดที่ดิน!BD38"")"),0)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IFERROR(__xludf.DUMMYFUNCTION("IMPORTRANGE(""https://docs.google.com/spreadsheets/d/1QqKyyYR6Q21VydFLVH3TRQUabQu_ym0Zz7PgGX0-kHA/edit?usp=sharing"",""แผน!IE38"")"),10)</f>
        <v>10</v>
      </c>
      <c r="J701" s="999">
        <f>J704+J707</f>
        <v>75</v>
      </c>
      <c r="K701" s="1000">
        <f t="shared" ca="1" si="290"/>
        <v>750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8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12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IFERROR(__xludf.DUMMYFUNCTION("IMPORTRANGE(""https://docs.google.com/spreadsheets/d/1QqKyyYR6Q21VydFLVH3TRQUabQu_ym0Zz7PgGX0-kHA/edit?usp=sharing"",""แผน!IF38"")"),10)</f>
        <v>10</v>
      </c>
      <c r="J704" s="992">
        <v>75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IFERROR(__xludf.DUMMYFUNCTION("IMPORTRANGE(""https://docs.google.com/spreadsheets/d/1QqKyyYR6Q21VydFLVH3TRQUabQu_ym0Zz7PgGX0-kHA/edit?usp=sharing"",""แผน!IG38"")"),0)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IFERROR(__xludf.DUMMYFUNCTION("IMPORTRANGE(""https://docs.google.com/spreadsheets/d/1QqKyyYR6Q21VydFLVH3TRQUabQu_ym0Zz7PgGX0-kHA/edit?usp=sharing"",""แผน!IH38"")"),0)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IFERROR(__xludf.DUMMYFUNCTION("IMPORTRANGE(""https://docs.google.com/spreadsheets/d/1XWAQStnk-4SwqDmLtmXYiTMKHgktTP8We1SCoS47DrQ/edit?usp=sharing"",""จัดที่ดิน!BF38"")"),0)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IFERROR(__xludf.DUMMYFUNCTION("IMPORTRANGE(""https://docs.google.com/spreadsheets/d/1XWAQStnk-4SwqDmLtmXYiTMKHgktTP8We1SCoS47DrQ/edit?usp=sharing"",""จัดที่ดิน!BG38"")"),0)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IFERROR(__xludf.DUMMYFUNCTION("IMPORTRANGE(""https://docs.google.com/spreadsheets/d/1QqKyyYR6Q21VydFLVH3TRQUabQu_ym0Zz7PgGX0-kHA/edit?usp=sharing"",""แผน!II38"")"),69)</f>
        <v>69</v>
      </c>
      <c r="J720" s="863">
        <f ca="1">IFERROR(__xludf.DUMMYFUNCTION("IMPORTRANGE(""https://docs.google.com/spreadsheets/d/1XWAQStnk-4SwqDmLtmXYiTMKHgktTP8We1SCoS47DrQ/edit?usp=sharing"",""จัดที่ดิน!BH38"")"),0)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IFERROR(__xludf.DUMMYFUNCTION("IMPORTRANGE(""https://docs.google.com/spreadsheets/d/1QqKyyYR6Q21VydFLVH3TRQUabQu_ym0Zz7PgGX0-kHA/edit?usp=sharing"",""แผน!IJ38"")"),2)</f>
        <v>2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IFERROR(__xludf.DUMMYFUNCTION("IMPORTRANGE(""https://docs.google.com/spreadsheets/d/1QqKyyYR6Q21VydFLVH3TRQUabQu_ym0Zz7PgGX0-kHA/edit?usp=sharing"",""แผน!IK38"")"),10)</f>
        <v>10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IFERROR(__xludf.DUMMYFUNCTION("IMPORTRANGE(""https://docs.google.com/spreadsheets/d/1QqKyyYR6Q21VydFLVH3TRQUabQu_ym0Zz7PgGX0-kHA/edit?usp=sharing"",""แผน!IL38"")"),2)</f>
        <v>2</v>
      </c>
      <c r="J723" s="863">
        <f ca="1">IFERROR(__xludf.DUMMYFUNCTION("IMPORTRANGE(""https://docs.google.com/spreadsheets/d/1XWAQStnk-4SwqDmLtmXYiTMKHgktTP8We1SCoS47DrQ/edit?usp=sharing"",""จัดที่ดิน!BM38"")"),0)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IFERROR(__xludf.DUMMYFUNCTION("IMPORTRANGE(""https://docs.google.com/spreadsheets/d/1XWAQStnk-4SwqDmLtmXYiTMKHgktTP8We1SCoS47DrQ/edit?usp=sharing"",""จัดที่ดิน!BN38"")"),0)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IFERROR(__xludf.DUMMYFUNCTION("IMPORTRANGE(""https://docs.google.com/spreadsheets/d/1QqKyyYR6Q21VydFLVH3TRQUabQu_ym0Zz7PgGX0-kHA/edit?usp=sharing"",""แผน!IM38"")"),10)</f>
        <v>10</v>
      </c>
      <c r="J725" s="863">
        <f ca="1">IFERROR(__xludf.DUMMYFUNCTION("IMPORTRANGE(""https://docs.google.com/spreadsheets/d/1XWAQStnk-4SwqDmLtmXYiTMKHgktTP8We1SCoS47DrQ/edit?usp=sharing"",""จัดที่ดิน!BO38"")"),0)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IFERROR(__xludf.DUMMYFUNCTION("IMPORTRANGE(""https://docs.google.com/spreadsheets/d/1QqKyyYR6Q21VydFLVH3TRQUabQu_ym0Zz7PgGX0-kHA/edit?usp=sharing"",""แผน!IN38"")"),0)</f>
        <v>0</v>
      </c>
      <c r="J726" s="863">
        <f ca="1">IFERROR(__xludf.DUMMYFUNCTION("IMPORTRANGE(""https://docs.google.com/spreadsheets/d/1XWAQStnk-4SwqDmLtmXYiTMKHgktTP8We1SCoS47DrQ/edit?usp=sharing"",""จัดที่ดิน!BR38"")"),0)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IFERROR(__xludf.DUMMYFUNCTION("IMPORTRANGE(""https://docs.google.com/spreadsheets/d/1XWAQStnk-4SwqDmLtmXYiTMKHgktTP8We1SCoS47DrQ/edit?usp=sharing"",""จัดที่ดิน!BS38"")"),0)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IFERROR(__xludf.DUMMYFUNCTION("IMPORTRANGE(""https://docs.google.com/spreadsheets/d/1QqKyyYR6Q21VydFLVH3TRQUabQu_ym0Zz7PgGX0-kHA/edit?usp=sharing"",""แผน!IO38"")"),0)</f>
        <v>0</v>
      </c>
      <c r="J728" s="863">
        <f ca="1">IFERROR(__xludf.DUMMYFUNCTION("IMPORTRANGE(""https://docs.google.com/spreadsheets/d/1XWAQStnk-4SwqDmLtmXYiTMKHgktTP8We1SCoS47DrQ/edit?usp=sharing"",""จัดที่ดิน!BT38"")"),0)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IFERROR(__xludf.DUMMYFUNCTION("IMPORTRANGE(""https://docs.google.com/spreadsheets/d/1QqKyyYR6Q21VydFLVH3TRQUabQu_ym0Zz7PgGX0-kHA/edit?usp=sharing"",""แผน!IP38"")"),657)</f>
        <v>657</v>
      </c>
      <c r="J729" s="999">
        <f>J732+J735</f>
        <v>333</v>
      </c>
      <c r="K729" s="1000">
        <f t="shared" ca="1" si="293"/>
        <v>50.684931506849317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46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60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473">
        <v>333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IFERROR(__xludf.DUMMYFUNCTION("IMPORTRANGE(""https://docs.google.com/spreadsheets/d/1QqKyyYR6Q21VydFLVH3TRQUabQu_ym0Zz7PgGX0-kHA/edit?usp=sharing"",""แผน!JJ38"")"),0)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IFERROR(__xludf.DUMMYFUNCTION("IMPORTRANGE(""https://docs.google.com/spreadsheets/d/1QqKyyYR6Q21VydFLVH3TRQUabQu_ym0Zz7PgGX0-kHA/edit?usp=sharing"",""แผน!JN38"")"),0)</f>
        <v>0</v>
      </c>
      <c r="J800" s="977">
        <f ca="1">IFERROR(__xludf.DUMMYFUNCTION("IMPORTRANGE(""https://docs.google.com/spreadsheets/d/1MaWodYyGHDf7siQLGxnXhG4mBNTNIuy296niS2xXulU/edit?usp=sharing"",""RTK!H38"")"),0)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IFERROR(__xludf.DUMMYFUNCTION("IMPORTRANGE(""https://docs.google.com/spreadsheets/d/1MaWodYyGHDf7siQLGxnXhG4mBNTNIuy296niS2xXulU/edit?usp=sharing"",""RTK!I38"")"),0)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863">
        <f ca="1">IFERROR(__xludf.DUMMYFUNCTION("IMPORTRANGE(""https://docs.google.com/spreadsheets/d/19vJNZY_5yjcGF2XGBMNZRCAIB0Kwfpjp8YEOfu-bneM/edit?usp=sharing"",""งานกองทุน!F38"")"),1384984.41)</f>
        <v>1384984.41</v>
      </c>
      <c r="K821" s="864">
        <f t="shared" ref="K821:K828" ca="1" si="335">IF(I821&gt;0,J821*100/I821,0)</f>
        <v>27.505044025088885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IFERROR(__xludf.DUMMYFUNCTION("IMPORTRANGE(""https://docs.google.com/spreadsheets/d/19vJNZY_5yjcGF2XGBMNZRCAIB0Kwfpjp8YEOfu-bneM/edit?usp=sharing"",""งานกองทุน!C38"")"),294)</f>
        <v>294</v>
      </c>
      <c r="J822" s="863">
        <f ca="1">IFERROR(__xludf.DUMMYFUNCTION("IMPORTRANGE(""https://docs.google.com/spreadsheets/d/19vJNZY_5yjcGF2XGBMNZRCAIB0Kwfpjp8YEOfu-bneM/edit?usp=sharing"",""งานกองทุน!E38"")"),89)</f>
        <v>89</v>
      </c>
      <c r="K822" s="864">
        <f t="shared" ca="1" si="335"/>
        <v>30.272108843537413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863">
        <f ca="1">IFERROR(__xludf.DUMMYFUNCTION("IMPORTRANGE(""https://docs.google.com/spreadsheets/d/19vJNZY_5yjcGF2XGBMNZRCAIB0Kwfpjp8YEOfu-bneM/edit?usp=sharing"",""งานกองทุน!K38"")"),722259.07)</f>
        <v>722259.07</v>
      </c>
      <c r="K823" s="864">
        <f t="shared" ca="1" si="335"/>
        <v>26.237963977872997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IFERROR(__xludf.DUMMYFUNCTION("IMPORTRANGE(""https://docs.google.com/spreadsheets/d/19vJNZY_5yjcGF2XGBMNZRCAIB0Kwfpjp8YEOfu-bneM/edit?usp=sharing"",""งานกองทุน!H38"")"),134)</f>
        <v>134</v>
      </c>
      <c r="J824" s="863">
        <f ca="1">IFERROR(__xludf.DUMMYFUNCTION("IMPORTRANGE(""https://docs.google.com/spreadsheets/d/19vJNZY_5yjcGF2XGBMNZRCAIB0Kwfpjp8YEOfu-bneM/edit?usp=sharing"",""งานกองทุน!J38"")"),61)</f>
        <v>61</v>
      </c>
      <c r="K824" s="864">
        <f t="shared" ca="1" si="335"/>
        <v>45.522388059701491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863">
        <f ca="1">IFERROR(__xludf.DUMMYFUNCTION("IMPORTRANGE(""https://docs.google.com/spreadsheets/d/19vJNZY_5yjcGF2XGBMNZRCAIB0Kwfpjp8YEOfu-bneM/edit?usp=sharing"",""งานกองทุน!P38"")"),854308.63)</f>
        <v>854308.63</v>
      </c>
      <c r="K825" s="864">
        <f t="shared" ca="1" si="335"/>
        <v>34.811280918649302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IFERROR(__xludf.DUMMYFUNCTION("IMPORTRANGE(""https://docs.google.com/spreadsheets/d/19vJNZY_5yjcGF2XGBMNZRCAIB0Kwfpjp8YEOfu-bneM/edit?usp=sharing"",""งานกองทุน!M38"")"),234)</f>
        <v>234</v>
      </c>
      <c r="J826" s="863">
        <f ca="1">IFERROR(__xludf.DUMMYFUNCTION("IMPORTRANGE(""https://docs.google.com/spreadsheets/d/19vJNZY_5yjcGF2XGBMNZRCAIB0Kwfpjp8YEOfu-bneM/edit?usp=sharing"",""งานกองทุน!O38"")"),121)</f>
        <v>121</v>
      </c>
      <c r="K826" s="864">
        <f t="shared" ca="1" si="335"/>
        <v>51.70940170940171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IFERROR(__xludf.DUMMYFUNCTION("IMPORTRANGE(""https://docs.google.com/spreadsheets/d/19vJNZY_5yjcGF2XGBMNZRCAIB0Kwfpjp8YEOfu-bneM/edit?usp=sharing"",""งานกองทุน!S38"")"),3950000)</f>
        <v>3950000</v>
      </c>
      <c r="J827" s="863">
        <f ca="1">IFERROR(__xludf.DUMMYFUNCTION("IMPORTRANGE(""https://docs.google.com/spreadsheets/d/19vJNZY_5yjcGF2XGBMNZRCAIB0Kwfpjp8YEOfu-bneM/edit?usp=sharing"",""งานกองทุน!U38"")"),2000000)</f>
        <v>2000000</v>
      </c>
      <c r="K827" s="864">
        <f t="shared" ca="1" si="335"/>
        <v>50.632911392405063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IFERROR(__xludf.DUMMYFUNCTION("IMPORTRANGE(""https://docs.google.com/spreadsheets/d/19vJNZY_5yjcGF2XGBMNZRCAIB0Kwfpjp8YEOfu-bneM/edit?usp=sharing"",""งานกองทุน!R38"")"),158)</f>
        <v>158</v>
      </c>
      <c r="J828" s="1117">
        <f ca="1">IFERROR(__xludf.DUMMYFUNCTION("IMPORTRANGE(""https://docs.google.com/spreadsheets/d/19vJNZY_5yjcGF2XGBMNZRCAIB0Kwfpjp8YEOfu-bneM/edit?usp=sharing"",""งานกองทุน!T38"")"),79)</f>
        <v>79</v>
      </c>
      <c r="K828" s="1215">
        <f t="shared" ca="1" si="335"/>
        <v>50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2A30-7422-4429-8300-7ADFD98A73E1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343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6783741</v>
      </c>
      <c r="M8" s="850">
        <f t="shared" ca="1" si="0"/>
        <v>3623343</v>
      </c>
      <c r="N8" s="850">
        <f t="shared" ca="1" si="0"/>
        <v>2549376.2600000002</v>
      </c>
      <c r="O8" s="850">
        <f t="shared" ref="O8:O16" ca="1" si="1">IF(L8&gt;0,N8*100/L8,0)</f>
        <v>37.580683873396701</v>
      </c>
      <c r="P8" s="850">
        <f t="shared" ref="P8:P16" ca="1" si="2">IF(M8&gt;0,N8*100/M8,0)</f>
        <v>70.359782664793272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6783741</v>
      </c>
      <c r="M10" s="857">
        <f t="shared" ca="1" si="3"/>
        <v>3623343</v>
      </c>
      <c r="N10" s="857">
        <f t="shared" ca="1" si="3"/>
        <v>2549376.2600000002</v>
      </c>
      <c r="O10" s="857">
        <f t="shared" ca="1" si="1"/>
        <v>37.580683873396701</v>
      </c>
      <c r="P10" s="857">
        <f t="shared" ca="1" si="2"/>
        <v>70.359782664793272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6202741</v>
      </c>
      <c r="M11" s="864">
        <f t="shared" ca="1" si="4"/>
        <v>3042343</v>
      </c>
      <c r="N11" s="864">
        <f t="shared" ca="1" si="4"/>
        <v>1968376.2600000002</v>
      </c>
      <c r="O11" s="864">
        <f t="shared" ca="1" si="1"/>
        <v>31.733974705698664</v>
      </c>
      <c r="P11" s="864">
        <f t="shared" ca="1" si="2"/>
        <v>64.699353754655547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6202741</v>
      </c>
      <c r="M13" s="870">
        <f t="shared" ca="1" si="5"/>
        <v>3042343</v>
      </c>
      <c r="N13" s="870">
        <f t="shared" ca="1" si="5"/>
        <v>1968376.2600000002</v>
      </c>
      <c r="O13" s="870">
        <f t="shared" ca="1" si="1"/>
        <v>31.733974705698664</v>
      </c>
      <c r="P13" s="870">
        <f t="shared" ca="1" si="2"/>
        <v>64.699353754655547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581000</v>
      </c>
      <c r="M14" s="864">
        <f t="shared" ca="1" si="6"/>
        <v>581000</v>
      </c>
      <c r="N14" s="864">
        <f t="shared" ca="1" si="6"/>
        <v>581000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581000</v>
      </c>
      <c r="M16" s="876">
        <f t="shared" ca="1" si="7"/>
        <v>581000</v>
      </c>
      <c r="N16" s="876">
        <f t="shared" ca="1" si="7"/>
        <v>581000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4351011</v>
      </c>
      <c r="M18" s="850">
        <f t="shared" ca="1" si="8"/>
        <v>3623343</v>
      </c>
      <c r="N18" s="850">
        <f t="shared" ca="1" si="8"/>
        <v>1960090.86</v>
      </c>
      <c r="O18" s="850">
        <f t="shared" ref="O18:O26" ca="1" si="9">IF(L18&gt;0,N18*100/L18,0)</f>
        <v>45.049089970124186</v>
      </c>
      <c r="P18" s="850">
        <f t="shared" ref="P18:P26" ca="1" si="10">IF(M18&gt;0,N18*100/M18,0)</f>
        <v>54.096199559357203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4351011</v>
      </c>
      <c r="M20" s="857">
        <f t="shared" ca="1" si="11"/>
        <v>3623343</v>
      </c>
      <c r="N20" s="857">
        <f t="shared" ca="1" si="11"/>
        <v>1960090.86</v>
      </c>
      <c r="O20" s="857">
        <f t="shared" ca="1" si="9"/>
        <v>45.049089970124186</v>
      </c>
      <c r="P20" s="857">
        <f t="shared" ca="1" si="10"/>
        <v>54.096199559357203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3770011</v>
      </c>
      <c r="M21" s="864">
        <f t="shared" ca="1" si="12"/>
        <v>3042343</v>
      </c>
      <c r="N21" s="864">
        <f t="shared" ca="1" si="12"/>
        <v>1379090.86</v>
      </c>
      <c r="O21" s="864">
        <f t="shared" ca="1" si="9"/>
        <v>36.580552682737533</v>
      </c>
      <c r="P21" s="864">
        <f t="shared" ca="1" si="10"/>
        <v>45.329894098068493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3770011</v>
      </c>
      <c r="M23" s="870">
        <f t="shared" ca="1" si="13"/>
        <v>3042343</v>
      </c>
      <c r="N23" s="870">
        <f t="shared" ca="1" si="13"/>
        <v>1379090.86</v>
      </c>
      <c r="O23" s="870">
        <f t="shared" ca="1" si="9"/>
        <v>36.580552682737533</v>
      </c>
      <c r="P23" s="870">
        <f t="shared" ca="1" si="10"/>
        <v>45.329894098068493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581000</v>
      </c>
      <c r="M24" s="864">
        <f t="shared" ca="1" si="14"/>
        <v>581000</v>
      </c>
      <c r="N24" s="864">
        <f t="shared" ca="1" si="14"/>
        <v>581000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581000</v>
      </c>
      <c r="M26" s="876">
        <f t="shared" ca="1" si="15"/>
        <v>581000</v>
      </c>
      <c r="N26" s="876">
        <f t="shared" ca="1" si="15"/>
        <v>581000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2432730</v>
      </c>
      <c r="M28" s="850">
        <f t="shared" si="16"/>
        <v>0</v>
      </c>
      <c r="N28" s="850">
        <f t="shared" si="16"/>
        <v>589285.4</v>
      </c>
      <c r="O28" s="850">
        <f t="shared" ref="O28:O37" ca="1" si="17">IF(L28&gt;0,N28*100/L28,0)</f>
        <v>24.223214249012425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2432730</v>
      </c>
      <c r="M30" s="857">
        <f t="shared" si="19"/>
        <v>0</v>
      </c>
      <c r="N30" s="857">
        <f t="shared" si="19"/>
        <v>589285.4</v>
      </c>
      <c r="O30" s="857">
        <f t="shared" ca="1" si="17"/>
        <v>24.223214249012425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2432730</v>
      </c>
      <c r="M31" s="864">
        <f t="shared" si="20"/>
        <v>0</v>
      </c>
      <c r="N31" s="864">
        <f t="shared" si="20"/>
        <v>589285.4</v>
      </c>
      <c r="O31" s="864">
        <f t="shared" ca="1" si="17"/>
        <v>24.223214249012425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2432730</v>
      </c>
      <c r="M33" s="870">
        <f t="shared" si="21"/>
        <v>0</v>
      </c>
      <c r="N33" s="870">
        <f t="shared" si="21"/>
        <v>589285.4</v>
      </c>
      <c r="O33" s="870">
        <f t="shared" ca="1" si="17"/>
        <v>24.223214249012425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4351011</v>
      </c>
      <c r="M37" s="883">
        <f t="shared" ca="1" si="24"/>
        <v>3623343</v>
      </c>
      <c r="N37" s="883">
        <f t="shared" ca="1" si="24"/>
        <v>1960090.86</v>
      </c>
      <c r="O37" s="883">
        <f t="shared" ca="1" si="17"/>
        <v>45.049089970124186</v>
      </c>
      <c r="P37" s="883">
        <f t="shared" ca="1" si="18"/>
        <v>54.096199559357203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514296</v>
      </c>
      <c r="M41" s="908">
        <f t="shared" ca="1" si="25"/>
        <v>523183</v>
      </c>
      <c r="N41" s="908">
        <f t="shared" ca="1" si="25"/>
        <v>239769</v>
      </c>
      <c r="O41" s="908">
        <f t="shared" ref="O41:O49" ca="1" si="26">IF(L41&gt;0,N41*100/L41,0)</f>
        <v>46.620817583648325</v>
      </c>
      <c r="P41" s="908">
        <f t="shared" ref="P41:P49" ca="1" si="27">IF(M41&gt;0,N41*100/M41,0)</f>
        <v>45.828897345670633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514296</v>
      </c>
      <c r="M43" s="914">
        <f t="shared" ca="1" si="28"/>
        <v>523183</v>
      </c>
      <c r="N43" s="914">
        <f t="shared" ca="1" si="28"/>
        <v>239769</v>
      </c>
      <c r="O43" s="914">
        <f t="shared" ca="1" si="26"/>
        <v>46.620817583648325</v>
      </c>
      <c r="P43" s="914">
        <f t="shared" ca="1" si="27"/>
        <v>45.828897345670633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514296</v>
      </c>
      <c r="M44" s="864">
        <f t="shared" ca="1" si="29"/>
        <v>523183</v>
      </c>
      <c r="N44" s="864">
        <f t="shared" ca="1" si="29"/>
        <v>239769</v>
      </c>
      <c r="O44" s="864">
        <f t="shared" ca="1" si="26"/>
        <v>46.620817583648325</v>
      </c>
      <c r="P44" s="864">
        <f t="shared" ca="1" si="27"/>
        <v>45.828897345670633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IFERROR(__xludf.DUMMYFUNCTION("IMPORTRANGE(""https://docs.google.com/spreadsheets/d/1MeEWN-I1oV_STSDYn1IFDPWt_1FKiwhDph83XaGc0o0/edit?usp=sharing"",""งบพรบ!M39"")"),514296)</f>
        <v>514296</v>
      </c>
      <c r="M46" s="870">
        <f ca="1">IFERROR(__xludf.DUMMYFUNCTION("IMPORTRANGE(""https://docs.google.com/spreadsheets/d/1MeEWN-I1oV_STSDYn1IFDPWt_1FKiwhDph83XaGc0o0/edit?usp=sharing"",""งบพรบ!R39"")"),523183)</f>
        <v>523183</v>
      </c>
      <c r="N46" s="870">
        <f ca="1">IFERROR(__xludf.DUMMYFUNCTION("IMPORTRANGE(""https://docs.google.com/spreadsheets/d/1MeEWN-I1oV_STSDYn1IFDPWt_1FKiwhDph83XaGc0o0/edit?usp=sharing"",""งบพรบ!T39"")"),239769)</f>
        <v>239769</v>
      </c>
      <c r="O46" s="870">
        <f t="shared" ca="1" si="26"/>
        <v>46.620817583648325</v>
      </c>
      <c r="P46" s="870">
        <f t="shared" ca="1" si="27"/>
        <v>45.828897345670633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IFERROR(__xludf.DUMMYFUNCTION("IMPORTRANGE(""https://docs.google.com/spreadsheets/d/1MeEWN-I1oV_STSDYn1IFDPWt_1FKiwhDph83XaGc0o0/edit?usp=sharing"",""งบพรบ!P39"")"),0)</f>
        <v>0</v>
      </c>
      <c r="M49" s="876">
        <f ca="1">IFERROR(__xludf.DUMMYFUNCTION("IMPORTRANGE(""https://docs.google.com/spreadsheets/d/1MeEWN-I1oV_STSDYn1IFDPWt_1FKiwhDph83XaGc0o0/edit?usp=sharing"",""งบพรบ!S39"")"),0)</f>
        <v>0</v>
      </c>
      <c r="N49" s="876">
        <f ca="1">IFERROR(__xludf.DUMMYFUNCTION("IMPORTRANGE(""https://docs.google.com/spreadsheets/d/1MeEWN-I1oV_STSDYn1IFDPWt_1FKiwhDph83XaGc0o0/edit?usp=sharing"",""งบพรบ!U39"")"),0)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679200</v>
      </c>
      <c r="M53" s="936">
        <f t="shared" ca="1" si="31"/>
        <v>509400</v>
      </c>
      <c r="N53" s="936">
        <f t="shared" ca="1" si="31"/>
        <v>266474.33</v>
      </c>
      <c r="O53" s="936">
        <f t="shared" ref="O53:O61" ca="1" si="32">IF(L53&gt;0,N53*100/L53,0)</f>
        <v>39.233558598351003</v>
      </c>
      <c r="P53" s="936">
        <f t="shared" ref="P53:P61" ca="1" si="33">IF(M53&gt;0,N53*100/M53,0)</f>
        <v>52.311411464468001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679200</v>
      </c>
      <c r="M55" s="942">
        <f t="shared" ca="1" si="34"/>
        <v>509400</v>
      </c>
      <c r="N55" s="942">
        <f t="shared" ca="1" si="34"/>
        <v>266474.33</v>
      </c>
      <c r="O55" s="942">
        <f t="shared" ca="1" si="32"/>
        <v>39.233558598351003</v>
      </c>
      <c r="P55" s="942">
        <f t="shared" ca="1" si="33"/>
        <v>52.311411464468001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679200</v>
      </c>
      <c r="M56" s="864">
        <f t="shared" ca="1" si="35"/>
        <v>509400</v>
      </c>
      <c r="N56" s="864">
        <f t="shared" ca="1" si="35"/>
        <v>266474.33</v>
      </c>
      <c r="O56" s="864">
        <f t="shared" ca="1" si="32"/>
        <v>39.233558598351003</v>
      </c>
      <c r="P56" s="864">
        <f t="shared" ca="1" si="33"/>
        <v>52.311411464468001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IFERROR(__xludf.DUMMYFUNCTION("IMPORTRANGE(""https://docs.google.com/spreadsheets/d/1MeEWN-I1oV_STSDYn1IFDPWt_1FKiwhDph83XaGc0o0/edit?usp=sharing"",""งบพรบ!W39"")"),679200)</f>
        <v>679200</v>
      </c>
      <c r="M58" s="870">
        <f ca="1">IFERROR(__xludf.DUMMYFUNCTION("IMPORTRANGE(""https://docs.google.com/spreadsheets/d/1MeEWN-I1oV_STSDYn1IFDPWt_1FKiwhDph83XaGc0o0/edit?usp=sharing"",""งบพรบ!AB39"")"),509400)</f>
        <v>509400</v>
      </c>
      <c r="N58" s="870">
        <f ca="1">IFERROR(__xludf.DUMMYFUNCTION("IMPORTRANGE(""https://docs.google.com/spreadsheets/d/1MeEWN-I1oV_STSDYn1IFDPWt_1FKiwhDph83XaGc0o0/edit?usp=sharing"",""งบพรบ!AD39"")"),266474.33)</f>
        <v>266474.33</v>
      </c>
      <c r="O58" s="870">
        <f t="shared" ca="1" si="32"/>
        <v>39.233558598351003</v>
      </c>
      <c r="P58" s="870">
        <f t="shared" ca="1" si="33"/>
        <v>52.311411464468001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IFERROR(__xludf.DUMMYFUNCTION("IMPORTRANGE(""https://docs.google.com/spreadsheets/d/1MeEWN-I1oV_STSDYn1IFDPWt_1FKiwhDph83XaGc0o0/edit?usp=sharing"",""งบพรบ!Z39"")"),0)</f>
        <v>0</v>
      </c>
      <c r="M61" s="876">
        <f ca="1">IFERROR(__xludf.DUMMYFUNCTION("IMPORTRANGE(""https://docs.google.com/spreadsheets/d/1MeEWN-I1oV_STSDYn1IFDPWt_1FKiwhDph83XaGc0o0/edit?usp=sharing"",""งบพรบ!AC39"")"),0)</f>
        <v>0</v>
      </c>
      <c r="N61" s="876">
        <f ca="1">IFERROR(__xludf.DUMMYFUNCTION("IMPORTRANGE(""https://docs.google.com/spreadsheets/d/1MeEWN-I1oV_STSDYn1IFDPWt_1FKiwhDph83XaGc0o0/edit?usp=sharing"",""งบพรบ!AE39"")"),0)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3</v>
      </c>
      <c r="J64" s="962">
        <f t="shared" si="37"/>
        <v>3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109</v>
      </c>
      <c r="J65" s="962">
        <f t="shared" si="37"/>
        <v>109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1621800</v>
      </c>
      <c r="M66" s="972">
        <f t="shared" ca="1" si="39"/>
        <v>1246500</v>
      </c>
      <c r="N66" s="972">
        <f t="shared" ca="1" si="39"/>
        <v>474496.23</v>
      </c>
      <c r="O66" s="972">
        <f t="shared" ref="O66:O74" ca="1" si="40">IF(L66&gt;0,N66*100/L66,0)</f>
        <v>29.257382537920829</v>
      </c>
      <c r="P66" s="972">
        <f t="shared" ref="P66:P74" ca="1" si="41">IF(M66&gt;0,N66*100/M66,0)</f>
        <v>38.066283995186524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1621800</v>
      </c>
      <c r="M68" s="870">
        <f t="shared" ca="1" si="42"/>
        <v>1246500</v>
      </c>
      <c r="N68" s="870">
        <f t="shared" ca="1" si="42"/>
        <v>474496.23</v>
      </c>
      <c r="O68" s="870">
        <f t="shared" ca="1" si="40"/>
        <v>29.257382537920829</v>
      </c>
      <c r="P68" s="870">
        <f t="shared" ca="1" si="41"/>
        <v>38.066283995186524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1621800</v>
      </c>
      <c r="M69" s="864">
        <f t="shared" ca="1" si="43"/>
        <v>1246500</v>
      </c>
      <c r="N69" s="864">
        <f t="shared" ca="1" si="43"/>
        <v>474496.23</v>
      </c>
      <c r="O69" s="864">
        <f t="shared" ca="1" si="40"/>
        <v>29.257382537920829</v>
      </c>
      <c r="P69" s="864">
        <f t="shared" ca="1" si="41"/>
        <v>38.066283995186524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IFERROR(__xludf.DUMMYFUNCTION("IMPORTRANGE(""https://docs.google.com/spreadsheets/d/1MeEWN-I1oV_STSDYn1IFDPWt_1FKiwhDph83XaGc0o0/edit?usp=sharing"",""งบพรบ!AG39"")"),1621800)</f>
        <v>1621800</v>
      </c>
      <c r="M71" s="870">
        <f ca="1">IFERROR(__xludf.DUMMYFUNCTION("IMPORTRANGE(""https://docs.google.com/spreadsheets/d/1MeEWN-I1oV_STSDYn1IFDPWt_1FKiwhDph83XaGc0o0/edit?usp=sharing"",""งบพรบ!AL39"")"),1246500)</f>
        <v>1246500</v>
      </c>
      <c r="N71" s="870">
        <f ca="1">IFERROR(__xludf.DUMMYFUNCTION("IMPORTRANGE(""https://docs.google.com/spreadsheets/d/1MeEWN-I1oV_STSDYn1IFDPWt_1FKiwhDph83XaGc0o0/edit?usp=sharing"",""งบพรบ!AN39"")"),474496.23)</f>
        <v>474496.23</v>
      </c>
      <c r="O71" s="870">
        <f t="shared" ca="1" si="40"/>
        <v>29.257382537920829</v>
      </c>
      <c r="P71" s="870">
        <f t="shared" ca="1" si="41"/>
        <v>38.066283995186524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IFERROR(__xludf.DUMMYFUNCTION("IMPORTRANGE(""https://docs.google.com/spreadsheets/d/1MeEWN-I1oV_STSDYn1IFDPWt_1FKiwhDph83XaGc0o0/edit?usp=sharing"",""งบพรบ!AJ39"")"),0)</f>
        <v>0</v>
      </c>
      <c r="M74" s="870">
        <f ca="1">IFERROR(__xludf.DUMMYFUNCTION("IMPORTRANGE(""https://docs.google.com/spreadsheets/d/1MeEWN-I1oV_STSDYn1IFDPWt_1FKiwhDph83XaGc0o0/edit?usp=sharing"",""งบพรบ!AM39"")"),0)</f>
        <v>0</v>
      </c>
      <c r="N74" s="870">
        <f ca="1">IFERROR(__xludf.DUMMYFUNCTION("IMPORTRANGE(""https://docs.google.com/spreadsheets/d/1MeEWN-I1oV_STSDYn1IFDPWt_1FKiwhDph83XaGc0o0/edit?usp=sharing"",""งบพรบ!AO39"")"),0)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3</v>
      </c>
      <c r="J76" s="863">
        <f t="shared" si="45"/>
        <v>3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109</v>
      </c>
      <c r="J77" s="863">
        <f t="shared" si="45"/>
        <v>109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IFERROR(__xludf.DUMMYFUNCTION("IMPORTRANGE(""https://docs.google.com/spreadsheets/d/1QqKyyYR6Q21VydFLVH3TRQUabQu_ym0Zz7PgGX0-kHA/edit?usp=sharing"",""แผน!H39"")"),1)</f>
        <v>1</v>
      </c>
      <c r="J78" s="992">
        <v>1</v>
      </c>
      <c r="K78" s="978">
        <f t="shared" ca="1" si="46"/>
        <v>100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IFERROR(__xludf.DUMMYFUNCTION("IMPORTRANGE(""https://docs.google.com/spreadsheets/d/1QqKyyYR6Q21VydFLVH3TRQUabQu_ym0Zz7PgGX0-kHA/edit?usp=sharing"",""แผน!I39"")"),32)</f>
        <v>32</v>
      </c>
      <c r="J79" s="992">
        <v>32</v>
      </c>
      <c r="K79" s="978">
        <f t="shared" ca="1" si="46"/>
        <v>100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IFERROR(__xludf.DUMMYFUNCTION("IMPORTRANGE(""https://docs.google.com/spreadsheets/d/1QqKyyYR6Q21VydFLVH3TRQUabQu_ym0Zz7PgGX0-kHA/edit?usp=sharing"",""แผน!F39"")"),1)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IFERROR(__xludf.DUMMYFUNCTION("IMPORTRANGE(""https://docs.google.com/spreadsheets/d/1QqKyyYR6Q21VydFLVH3TRQUabQu_ym0Zz7PgGX0-kHA/edit?usp=sharing"",""แผน!G39"")"),37)</f>
        <v>37</v>
      </c>
      <c r="J81" s="992">
        <v>37</v>
      </c>
      <c r="K81" s="978">
        <f t="shared" ca="1" si="46"/>
        <v>100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IFERROR(__xludf.DUMMYFUNCTION("IMPORTRANGE(""https://docs.google.com/spreadsheets/d/1QqKyyYR6Q21VydFLVH3TRQUabQu_ym0Zz7PgGX0-kHA/edit?usp=sharing"",""แผน!D39"")"),1)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IFERROR(__xludf.DUMMYFUNCTION("IMPORTRANGE(""https://docs.google.com/spreadsheets/d/1QqKyyYR6Q21VydFLVH3TRQUabQu_ym0Zz7PgGX0-kHA/edit?usp=sharing"",""แผน!E39"")"),40)</f>
        <v>40</v>
      </c>
      <c r="J83" s="992">
        <v>40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IFERROR(__xludf.DUMMYFUNCTION("IMPORTRANGE(""https://docs.google.com/spreadsheets/d/1QqKyyYR6Q21VydFLVH3TRQUabQu_ym0Zz7PgGX0-kHA/edit?usp=sharing"",""แผน!J39"")"),3)</f>
        <v>3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60</v>
      </c>
      <c r="J86" s="962">
        <f t="shared" si="47"/>
        <v>60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20</v>
      </c>
      <c r="J87" s="962">
        <f t="shared" si="47"/>
        <v>20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110880</v>
      </c>
      <c r="M88" s="972">
        <f t="shared" ca="1" si="49"/>
        <v>101180</v>
      </c>
      <c r="N88" s="972">
        <f t="shared" ca="1" si="49"/>
        <v>40406</v>
      </c>
      <c r="O88" s="972">
        <f t="shared" ref="O88:O96" ca="1" si="50">IF(L88&gt;0,N88*100/L88,0)</f>
        <v>36.441197691197694</v>
      </c>
      <c r="P88" s="972">
        <f t="shared" ref="P88:P96" ca="1" si="51">IF(M88&gt;0,N88*100/M88,0)</f>
        <v>39.934769717335442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110880</v>
      </c>
      <c r="M90" s="870">
        <f t="shared" ca="1" si="52"/>
        <v>101180</v>
      </c>
      <c r="N90" s="870">
        <f t="shared" ca="1" si="52"/>
        <v>40406</v>
      </c>
      <c r="O90" s="870">
        <f t="shared" ca="1" si="50"/>
        <v>36.441197691197694</v>
      </c>
      <c r="P90" s="870">
        <f t="shared" ca="1" si="51"/>
        <v>39.934769717335442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110880</v>
      </c>
      <c r="M91" s="864">
        <f t="shared" ca="1" si="53"/>
        <v>101180</v>
      </c>
      <c r="N91" s="864">
        <f t="shared" ca="1" si="53"/>
        <v>40406</v>
      </c>
      <c r="O91" s="864">
        <f t="shared" ca="1" si="50"/>
        <v>36.441197691197694</v>
      </c>
      <c r="P91" s="864">
        <f t="shared" ca="1" si="51"/>
        <v>39.934769717335442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IFERROR(__xludf.DUMMYFUNCTION("IMPORTRANGE(""https://docs.google.com/spreadsheets/d/1MeEWN-I1oV_STSDYn1IFDPWt_1FKiwhDph83XaGc0o0/edit?usp=sharing"",""งบพรบ!AQ39"")"),110880)</f>
        <v>110880</v>
      </c>
      <c r="M93" s="870">
        <f ca="1">IFERROR(__xludf.DUMMYFUNCTION("IMPORTRANGE(""https://docs.google.com/spreadsheets/d/1MeEWN-I1oV_STSDYn1IFDPWt_1FKiwhDph83XaGc0o0/edit?usp=sharing"",""งบพรบ!AV39"")"),101180)</f>
        <v>101180</v>
      </c>
      <c r="N93" s="870">
        <f ca="1">IFERROR(__xludf.DUMMYFUNCTION("IMPORTRANGE(""https://docs.google.com/spreadsheets/d/1MeEWN-I1oV_STSDYn1IFDPWt_1FKiwhDph83XaGc0o0/edit?usp=sharing"",""งบพรบ!AX39"")"),40406)</f>
        <v>40406</v>
      </c>
      <c r="O93" s="870">
        <f t="shared" ca="1" si="50"/>
        <v>36.441197691197694</v>
      </c>
      <c r="P93" s="870">
        <f t="shared" ca="1" si="51"/>
        <v>39.934769717335442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IFERROR(__xludf.DUMMYFUNCTION("IMPORTRANGE(""https://docs.google.com/spreadsheets/d/1MeEWN-I1oV_STSDYn1IFDPWt_1FKiwhDph83XaGc0o0/edit?usp=sharing"",""งบพรบ!AT39"")"),0)</f>
        <v>0</v>
      </c>
      <c r="M96" s="870">
        <f ca="1">IFERROR(__xludf.DUMMYFUNCTION("IMPORTRANGE(""https://docs.google.com/spreadsheets/d/1MeEWN-I1oV_STSDYn1IFDPWt_1FKiwhDph83XaGc0o0/edit?usp=sharing"",""งบพรบ!AW39"")"),0)</f>
        <v>0</v>
      </c>
      <c r="N96" s="870">
        <f ca="1">IFERROR(__xludf.DUMMYFUNCTION("IMPORTRANGE(""https://docs.google.com/spreadsheets/d/1MeEWN-I1oV_STSDYn1IFDPWt_1FKiwhDph83XaGc0o0/edit?usp=sharing"",""งบพรบ!AY39"")"),0)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IFERROR(__xludf.DUMMYFUNCTION("IMPORTRANGE(""https://docs.google.com/spreadsheets/d/1QqKyyYR6Q21VydFLVH3TRQUabQu_ym0Zz7PgGX0-kHA/edit?usp=sharing"",""แผน!K39"")"),60)</f>
        <v>60</v>
      </c>
      <c r="J98" s="863">
        <f>J102</f>
        <v>60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IFERROR(__xludf.DUMMYFUNCTION("IMPORTRANGE(""https://docs.google.com/spreadsheets/d/1QqKyyYR6Q21VydFLVH3TRQUabQu_ym0Zz7PgGX0-kHA/edit?usp=sharing"",""แผน!L39"")"),20)</f>
        <v>20</v>
      </c>
      <c r="J99" s="863">
        <f>J104</f>
        <v>20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IFERROR(__xludf.DUMMYFUNCTION("IMPORTRANGE(""https://docs.google.com/spreadsheets/d/1QqKyyYR6Q21VydFLVH3TRQUabQu_ym0Zz7PgGX0-kHA/edit?usp=sharing"",""แผน!M39"")"),2)</f>
        <v>2</v>
      </c>
      <c r="J100" s="863">
        <f>J107+J110</f>
        <v>2</v>
      </c>
      <c r="K100" s="864">
        <f t="shared" ca="1" si="55"/>
        <v>100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IFERROR(__xludf.DUMMYFUNCTION("IMPORTRANGE(""https://docs.google.com/spreadsheets/d/1QqKyyYR6Q21VydFLVH3TRQUabQu_ym0Zz7PgGX0-kHA/edit?usp=sharing"",""แผน!N39"")"),60)</f>
        <v>60</v>
      </c>
      <c r="J102" s="992">
        <v>60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IFERROR(__xludf.DUMMYFUNCTION("IMPORTRANGE(""https://docs.google.com/spreadsheets/d/1QqKyyYR6Q21VydFLVH3TRQUabQu_ym0Zz7PgGX0-kHA/edit?usp=sharing"",""แผน!O39"")"),20)</f>
        <v>20</v>
      </c>
      <c r="J103" s="992">
        <v>20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IFERROR(__xludf.DUMMYFUNCTION("IMPORTRANGE(""https://docs.google.com/spreadsheets/d/1QqKyyYR6Q21VydFLVH3TRQUabQu_ym0Zz7PgGX0-kHA/edit?usp=sharing"",""แผน!O39"")"),20)</f>
        <v>20</v>
      </c>
      <c r="J104" s="992">
        <v>20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IFERROR(__xludf.DUMMYFUNCTION("IMPORTRANGE(""https://docs.google.com/spreadsheets/d/1QqKyyYR6Q21VydFLVH3TRQUabQu_ym0Zz7PgGX0-kHA/edit?usp=sharing"",""แผน!P39"")"),1)</f>
        <v>1</v>
      </c>
      <c r="J106" s="992">
        <v>1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IFERROR(__xludf.DUMMYFUNCTION("IMPORTRANGE(""https://docs.google.com/spreadsheets/d/1QqKyyYR6Q21VydFLVH3TRQUabQu_ym0Zz7PgGX0-kHA/edit?usp=sharing"",""แผน!P39"")"),1)</f>
        <v>1</v>
      </c>
      <c r="J107" s="992">
        <v>1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IFERROR(__xludf.DUMMYFUNCTION("IMPORTRANGE(""https://docs.google.com/spreadsheets/d/1QqKyyYR6Q21VydFLVH3TRQUabQu_ym0Zz7PgGX0-kHA/edit?usp=sharing"",""แผน!Q39"")"),1)</f>
        <v>1</v>
      </c>
      <c r="J109" s="992">
        <v>1</v>
      </c>
      <c r="K109" s="864">
        <f t="shared" ref="K109:K116" ca="1" si="58">IF(I109&gt;0,J109*100/I109,0)</f>
        <v>100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IFERROR(__xludf.DUMMYFUNCTION("IMPORTRANGE(""https://docs.google.com/spreadsheets/d/1QqKyyYR6Q21VydFLVH3TRQUabQu_ym0Zz7PgGX0-kHA/edit?usp=sharing"",""แผน!Q39"")"),1)</f>
        <v>1</v>
      </c>
      <c r="J110" s="992">
        <v>1</v>
      </c>
      <c r="K110" s="864">
        <f t="shared" ca="1" si="58"/>
        <v>100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IFERROR(__xludf.DUMMYFUNCTION("IMPORTRANGE(""https://docs.google.com/spreadsheets/d/1QqKyyYR6Q21VydFLVH3TRQUabQu_ym0Zz7PgGX0-kHA/edit?usp=sharing"",""แผน!R39"")"),20)</f>
        <v>20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IFERROR(__xludf.DUMMYFUNCTION("IMPORTRANGE(""https://docs.google.com/spreadsheets/d/1QqKyyYR6Q21VydFLVH3TRQUabQu_ym0Zz7PgGX0-kHA/edit?usp=sharing"",""แผน!R39"")"),20)</f>
        <v>20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IFERROR(__xludf.DUMMYFUNCTION("IMPORTRANGE(""https://docs.google.com/spreadsheets/d/1QqKyyYR6Q21VydFLVH3TRQUabQu_ym0Zz7PgGX0-kHA/edit?usp=sharing"",""แผน!R39"")"),20)</f>
        <v>20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IFERROR(__xludf.DUMMYFUNCTION("IMPORTRANGE(""https://docs.google.com/spreadsheets/d/1QqKyyYR6Q21VydFLVH3TRQUabQu_ym0Zz7PgGX0-kHA/edit?usp=sharing"",""แผน!S39"")"),1)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IFERROR(__xludf.DUMMYFUNCTION("IMPORTRANGE(""https://docs.google.com/spreadsheets/d/1QqKyyYR6Q21VydFLVH3TRQUabQu_ym0Zz7PgGX0-kHA/edit?usp=sharing"",""แผน!T39"")"),1)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>
      <c r="A118" s="957"/>
      <c r="B118" s="958" t="s">
        <v>65</v>
      </c>
      <c r="C118" s="1006"/>
      <c r="D118" s="960"/>
      <c r="E118" s="959"/>
      <c r="F118" s="959"/>
      <c r="G118" s="961"/>
      <c r="H118" s="205" t="s">
        <v>66</v>
      </c>
      <c r="I118" s="1007">
        <v>1</v>
      </c>
      <c r="J118" s="1007">
        <f>J440</f>
        <v>0</v>
      </c>
      <c r="K118" s="964">
        <f>IF(I118&gt;0,J118*100/I118,0)</f>
        <v>0</v>
      </c>
      <c r="L118" s="964"/>
      <c r="M118" s="964"/>
      <c r="N118" s="964"/>
      <c r="O118" s="964"/>
      <c r="P118" s="964"/>
    </row>
    <row r="119" spans="1:26" ht="19.5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212000</v>
      </c>
      <c r="M119" s="972">
        <f t="shared" ca="1" si="60"/>
        <v>212000</v>
      </c>
      <c r="N119" s="972">
        <f t="shared" ca="1" si="60"/>
        <v>212000</v>
      </c>
      <c r="O119" s="972">
        <f t="shared" ref="O119:O127" ca="1" si="61">IF(L119&gt;0,N119*100/L119,0)</f>
        <v>100</v>
      </c>
      <c r="P119" s="972">
        <f t="shared" ref="P119:P127" ca="1" si="62">IF(M119&gt;0,N119*100/M119,0)</f>
        <v>100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212000</v>
      </c>
      <c r="M121" s="870">
        <f t="shared" ca="1" si="63"/>
        <v>212000</v>
      </c>
      <c r="N121" s="870">
        <f t="shared" ca="1" si="63"/>
        <v>212000</v>
      </c>
      <c r="O121" s="870">
        <f t="shared" ca="1" si="61"/>
        <v>100</v>
      </c>
      <c r="P121" s="870">
        <f t="shared" ca="1" si="62"/>
        <v>100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IFERROR(__xludf.DUMMYFUNCTION("IMPORTRANGE(""https://docs.google.com/spreadsheets/d/1MeEWN-I1oV_STSDYn1IFDPWt_1FKiwhDph83XaGc0o0/edit?usp=sharing"",""งบพรบ!BA39"")"),0)</f>
        <v>0</v>
      </c>
      <c r="M124" s="870">
        <f ca="1">IFERROR(__xludf.DUMMYFUNCTION("IMPORTRANGE(""https://docs.google.com/spreadsheets/d/1MeEWN-I1oV_STSDYn1IFDPWt_1FKiwhDph83XaGc0o0/edit?usp=sharing"",""งบพรบ!BF39"")"),0)</f>
        <v>0</v>
      </c>
      <c r="N124" s="870">
        <f ca="1">IFERROR(__xludf.DUMMYFUNCTION("IMPORTRANGE(""https://docs.google.com/spreadsheets/d/1MeEWN-I1oV_STSDYn1IFDPWt_1FKiwhDph83XaGc0o0/edit?usp=sharing"",""งบพรบ!BH39"")"),0)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212000</v>
      </c>
      <c r="M125" s="864">
        <f t="shared" ca="1" si="65"/>
        <v>212000</v>
      </c>
      <c r="N125" s="864">
        <f t="shared" ca="1" si="65"/>
        <v>212000</v>
      </c>
      <c r="O125" s="864">
        <f t="shared" ca="1" si="61"/>
        <v>100</v>
      </c>
      <c r="P125" s="864">
        <f t="shared" ca="1" si="62"/>
        <v>100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IFERROR(__xludf.DUMMYFUNCTION("IMPORTRANGE(""https://docs.google.com/spreadsheets/d/1MeEWN-I1oV_STSDYn1IFDPWt_1FKiwhDph83XaGc0o0/edit?usp=sharing"",""งบพรบ!BD39"")"),212000)</f>
        <v>212000</v>
      </c>
      <c r="M127" s="870">
        <f ca="1">IFERROR(__xludf.DUMMYFUNCTION("IMPORTRANGE(""https://docs.google.com/spreadsheets/d/1MeEWN-I1oV_STSDYn1IFDPWt_1FKiwhDph83XaGc0o0/edit?usp=sharing"",""งบพรบ!BG39"")"),212000)</f>
        <v>212000</v>
      </c>
      <c r="N127" s="870">
        <f ca="1">IFERROR(__xludf.DUMMYFUNCTION("IMPORTRANGE(""https://docs.google.com/spreadsheets/d/1MeEWN-I1oV_STSDYn1IFDPWt_1FKiwhDph83XaGc0o0/edit?usp=sharing"",""งบพรบ!BI39"")"),212000)</f>
        <v>212000</v>
      </c>
      <c r="O127" s="870">
        <f t="shared" ca="1" si="61"/>
        <v>100</v>
      </c>
      <c r="P127" s="870">
        <f t="shared" ca="1" si="62"/>
        <v>100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3</v>
      </c>
      <c r="J130" s="962">
        <f t="shared" si="66"/>
        <v>3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30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454965</v>
      </c>
      <c r="M132" s="972">
        <f t="shared" ca="1" si="69"/>
        <v>440600</v>
      </c>
      <c r="N132" s="972">
        <f t="shared" ca="1" si="69"/>
        <v>386150</v>
      </c>
      <c r="O132" s="972">
        <f t="shared" ref="O132:O140" ca="1" si="70">IF(L132&gt;0,N132*100/L132,0)</f>
        <v>84.874660688184804</v>
      </c>
      <c r="P132" s="972">
        <f t="shared" ref="P132:P140" ca="1" si="71">IF(M132&gt;0,N132*100/M132,0)</f>
        <v>87.64185201997276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454965</v>
      </c>
      <c r="M134" s="870">
        <f t="shared" ca="1" si="72"/>
        <v>440600</v>
      </c>
      <c r="N134" s="870">
        <f t="shared" ca="1" si="72"/>
        <v>386150</v>
      </c>
      <c r="O134" s="870">
        <f t="shared" ca="1" si="70"/>
        <v>84.874660688184804</v>
      </c>
      <c r="P134" s="870">
        <f t="shared" ca="1" si="71"/>
        <v>87.64185201997276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145965</v>
      </c>
      <c r="M135" s="864">
        <f t="shared" ca="1" si="73"/>
        <v>131600</v>
      </c>
      <c r="N135" s="864">
        <f t="shared" ca="1" si="73"/>
        <v>77150</v>
      </c>
      <c r="O135" s="864">
        <f t="shared" ca="1" si="70"/>
        <v>52.85513650532662</v>
      </c>
      <c r="P135" s="864">
        <f t="shared" ca="1" si="71"/>
        <v>58.624620060790271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IFERROR(__xludf.DUMMYFUNCTION("IMPORTRANGE(""https://docs.google.com/spreadsheets/d/1MeEWN-I1oV_STSDYn1IFDPWt_1FKiwhDph83XaGc0o0/edit?usp=sharing"",""งบพรบ!BK39"")"),145965)</f>
        <v>145965</v>
      </c>
      <c r="M137" s="870">
        <f ca="1">IFERROR(__xludf.DUMMYFUNCTION("IMPORTRANGE(""https://docs.google.com/spreadsheets/d/1MeEWN-I1oV_STSDYn1IFDPWt_1FKiwhDph83XaGc0o0/edit?usp=sharing"",""งบพรบ!BP39"")"),131600)</f>
        <v>131600</v>
      </c>
      <c r="N137" s="870">
        <f ca="1">IFERROR(__xludf.DUMMYFUNCTION("IMPORTRANGE(""https://docs.google.com/spreadsheets/d/1MeEWN-I1oV_STSDYn1IFDPWt_1FKiwhDph83XaGc0o0/edit?usp=sharing"",""งบพรบ!BR39"")"),77150)</f>
        <v>77150</v>
      </c>
      <c r="O137" s="870">
        <f t="shared" ca="1" si="70"/>
        <v>52.85513650532662</v>
      </c>
      <c r="P137" s="870">
        <f t="shared" ca="1" si="71"/>
        <v>58.624620060790271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309000</v>
      </c>
      <c r="M138" s="864">
        <f t="shared" ca="1" si="74"/>
        <v>309000</v>
      </c>
      <c r="N138" s="864">
        <f t="shared" ca="1" si="74"/>
        <v>309000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IFERROR(__xludf.DUMMYFUNCTION("IMPORTRANGE(""https://docs.google.com/spreadsheets/d/1MeEWN-I1oV_STSDYn1IFDPWt_1FKiwhDph83XaGc0o0/edit?usp=sharing"",""งบพรบ!BN39"")"),309000)</f>
        <v>309000</v>
      </c>
      <c r="M140" s="870">
        <f ca="1">IFERROR(__xludf.DUMMYFUNCTION("IMPORTRANGE(""https://docs.google.com/spreadsheets/d/1MeEWN-I1oV_STSDYn1IFDPWt_1FKiwhDph83XaGc0o0/edit?usp=sharing"",""งบพรบ!BQ39"")"),309000)</f>
        <v>309000</v>
      </c>
      <c r="N140" s="870">
        <f ca="1">IFERROR(__xludf.DUMMYFUNCTION("IMPORTRANGE(""https://docs.google.com/spreadsheets/d/1MeEWN-I1oV_STSDYn1IFDPWt_1FKiwhDph83XaGc0o0/edit?usp=sharing"",""งบพรบ!BS39"")"),309000)</f>
        <v>309000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30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30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IFERROR(__xludf.DUMMYFUNCTION("IMPORTRANGE(""https://docs.google.com/spreadsheets/d/1QqKyyYR6Q21VydFLVH3TRQUabQu_ym0Zz7PgGX0-kHA/edit?usp=sharing"",""แผน!U39"")"),15)</f>
        <v>15</v>
      </c>
      <c r="J144" s="992">
        <v>15</v>
      </c>
      <c r="K144" s="864">
        <f t="shared" ca="1" si="75"/>
        <v>100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IFERROR(__xludf.DUMMYFUNCTION("IMPORTRANGE(""https://docs.google.com/spreadsheets/d/1QqKyyYR6Q21VydFLVH3TRQUabQu_ym0Zz7PgGX0-kHA/edit?usp=sharing"",""แผน!V39"")"),30)</f>
        <v>30</v>
      </c>
      <c r="J145" s="992">
        <v>20</v>
      </c>
      <c r="K145" s="864">
        <f t="shared" ca="1" si="75"/>
        <v>66.666666666666671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IFERROR(__xludf.DUMMYFUNCTION("IMPORTRANGE(""https://docs.google.com/spreadsheets/d/1QqKyyYR6Q21VydFLVH3TRQUabQu_ym0Zz7PgGX0-kHA/edit?usp=sharing"",""แผน!W39"")"),3)</f>
        <v>3</v>
      </c>
      <c r="J146" s="992">
        <v>3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IFERROR(__xludf.DUMMYFUNCTION("IMPORTRANGE(""https://docs.google.com/spreadsheets/d/1MeEWN-I1oV_STSDYn1IFDPWt_1FKiwhDph83XaGc0o0/edit?usp=sharing"",""งบพรบ!BU39"")"),0)</f>
        <v>0</v>
      </c>
      <c r="M154" s="870">
        <f ca="1">IFERROR(__xludf.DUMMYFUNCTION("IMPORTRANGE(""https://docs.google.com/spreadsheets/d/1MeEWN-I1oV_STSDYn1IFDPWt_1FKiwhDph83XaGc0o0/edit?usp=sharing"",""งบพรบ!BZ39"")"),0)</f>
        <v>0</v>
      </c>
      <c r="N154" s="870">
        <f ca="1">IFERROR(__xludf.DUMMYFUNCTION("IMPORTRANGE(""https://docs.google.com/spreadsheets/d/1MeEWN-I1oV_STSDYn1IFDPWt_1FKiwhDph83XaGc0o0/edit?usp=sharing"",""งบพรบ!CB39"")"),0)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IFERROR(__xludf.DUMMYFUNCTION("IMPORTRANGE(""https://docs.google.com/spreadsheets/d/1MeEWN-I1oV_STSDYn1IFDPWt_1FKiwhDph83XaGc0o0/edit?usp=sharing"",""งบพรบ!BX39"")"),0)</f>
        <v>0</v>
      </c>
      <c r="M157" s="870">
        <f ca="1">IFERROR(__xludf.DUMMYFUNCTION("IMPORTRANGE(""https://docs.google.com/spreadsheets/d/1MeEWN-I1oV_STSDYn1IFDPWt_1FKiwhDph83XaGc0o0/edit?usp=sharing"",""งบพรบ!CA39"")"),0)</f>
        <v>0</v>
      </c>
      <c r="N157" s="870">
        <f ca="1">IFERROR(__xludf.DUMMYFUNCTION("IMPORTRANGE(""https://docs.google.com/spreadsheets/d/1MeEWN-I1oV_STSDYn1IFDPWt_1FKiwhDph83XaGc0o0/edit?usp=sharing"",""งบพรบ!CC39"")"),0)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IFERROR(__xludf.DUMMYFUNCTION("IMPORTRANGE(""https://docs.google.com/spreadsheets/d/1QqKyyYR6Q21VydFLVH3TRQUabQu_ym0Zz7PgGX0-kHA/edit?usp=sharing"",""แผน!X39"")"),0)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23060</v>
      </c>
      <c r="N165" s="972">
        <f t="shared" ca="1" si="84"/>
        <v>23060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23060</v>
      </c>
      <c r="N167" s="870">
        <f t="shared" ca="1" si="87"/>
        <v>23060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23060</v>
      </c>
      <c r="N168" s="864">
        <f t="shared" ca="1" si="88"/>
        <v>23060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IFERROR(__xludf.DUMMYFUNCTION("IMPORTRANGE(""https://docs.google.com/spreadsheets/d/1MeEWN-I1oV_STSDYn1IFDPWt_1FKiwhDph83XaGc0o0/edit?usp=sharing"",""งบพรบ!CE39"")"),23060)</f>
        <v>23060</v>
      </c>
      <c r="M170" s="870">
        <f ca="1">IFERROR(__xludf.DUMMYFUNCTION("IMPORTRANGE(""https://docs.google.com/spreadsheets/d/1MeEWN-I1oV_STSDYn1IFDPWt_1FKiwhDph83XaGc0o0/edit?usp=sharing"",""งบพรบ!CJ39"")"),23060)</f>
        <v>23060</v>
      </c>
      <c r="N170" s="870">
        <f ca="1">IFERROR(__xludf.DUMMYFUNCTION("IMPORTRANGE(""https://docs.google.com/spreadsheets/d/1MeEWN-I1oV_STSDYn1IFDPWt_1FKiwhDph83XaGc0o0/edit?usp=sharing"",""งบพรบ!CL39"")"),23060)</f>
        <v>23060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IFERROR(__xludf.DUMMYFUNCTION("IMPORTRANGE(""https://docs.google.com/spreadsheets/d/1MeEWN-I1oV_STSDYn1IFDPWt_1FKiwhDph83XaGc0o0/edit?usp=sharing"",""งบพรบ!CH39"")"),0)</f>
        <v>0</v>
      </c>
      <c r="M173" s="870">
        <f ca="1">IFERROR(__xludf.DUMMYFUNCTION("IMPORTRANGE(""https://docs.google.com/spreadsheets/d/1MeEWN-I1oV_STSDYn1IFDPWt_1FKiwhDph83XaGc0o0/edit?usp=sharing"",""งบพรบ!CK39"")"),0)</f>
        <v>0</v>
      </c>
      <c r="N173" s="870">
        <f ca="1">IFERROR(__xludf.DUMMYFUNCTION("IMPORTRANGE(""https://docs.google.com/spreadsheets/d/1MeEWN-I1oV_STSDYn1IFDPWt_1FKiwhDph83XaGc0o0/edit?usp=sharing"",""งบพรบ!CM39"")"),0)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IFERROR(__xludf.DUMMYFUNCTION("IMPORTRANGE(""https://docs.google.com/spreadsheets/d/1QqKyyYR6Q21VydFLVH3TRQUabQu_ym0Zz7PgGX0-kHA/edit?usp=sharing"",""แผน!Y39"")"),12)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55500</v>
      </c>
      <c r="M181" s="972">
        <f t="shared" ca="1" si="92"/>
        <v>40500</v>
      </c>
      <c r="N181" s="972">
        <f t="shared" ca="1" si="92"/>
        <v>29960</v>
      </c>
      <c r="O181" s="972">
        <f t="shared" ref="O181:O189" ca="1" si="93">IF(L181&gt;0,N181*100/L181,0)</f>
        <v>53.981981981981981</v>
      </c>
      <c r="P181" s="972">
        <f t="shared" ref="P181:P189" ca="1" si="94">IF(M181&gt;0,N181*100/M181,0)</f>
        <v>73.975308641975303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55500</v>
      </c>
      <c r="M183" s="870">
        <f t="shared" ca="1" si="95"/>
        <v>40500</v>
      </c>
      <c r="N183" s="870">
        <f t="shared" ca="1" si="95"/>
        <v>29960</v>
      </c>
      <c r="O183" s="870">
        <f t="shared" ca="1" si="93"/>
        <v>53.981981981981981</v>
      </c>
      <c r="P183" s="870">
        <f t="shared" ca="1" si="94"/>
        <v>73.975308641975303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55500</v>
      </c>
      <c r="M184" s="864">
        <f t="shared" ca="1" si="96"/>
        <v>40500</v>
      </c>
      <c r="N184" s="864">
        <f t="shared" ca="1" si="96"/>
        <v>29960</v>
      </c>
      <c r="O184" s="864">
        <f t="shared" ca="1" si="93"/>
        <v>53.981981981981981</v>
      </c>
      <c r="P184" s="864">
        <f t="shared" ca="1" si="94"/>
        <v>73.975308641975303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IFERROR(__xludf.DUMMYFUNCTION("IMPORTRANGE(""https://docs.google.com/spreadsheets/d/1MeEWN-I1oV_STSDYn1IFDPWt_1FKiwhDph83XaGc0o0/edit?usp=sharing"",""งบพรบ!CO39"")"),55500)</f>
        <v>55500</v>
      </c>
      <c r="M186" s="870">
        <f ca="1">IFERROR(__xludf.DUMMYFUNCTION("IMPORTRANGE(""https://docs.google.com/spreadsheets/d/1MeEWN-I1oV_STSDYn1IFDPWt_1FKiwhDph83XaGc0o0/edit?usp=sharing"",""งบพรบ!CT39"")"),40500)</f>
        <v>40500</v>
      </c>
      <c r="N186" s="870">
        <f ca="1">IFERROR(__xludf.DUMMYFUNCTION("IMPORTRANGE(""https://docs.google.com/spreadsheets/d/1MeEWN-I1oV_STSDYn1IFDPWt_1FKiwhDph83XaGc0o0/edit?usp=sharing"",""งบพรบ!CV39"")"),29960)</f>
        <v>29960</v>
      </c>
      <c r="O186" s="870">
        <f t="shared" ca="1" si="93"/>
        <v>53.981981981981981</v>
      </c>
      <c r="P186" s="870">
        <f t="shared" ca="1" si="94"/>
        <v>73.975308641975303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IFERROR(__xludf.DUMMYFUNCTION("IMPORTRANGE(""https://docs.google.com/spreadsheets/d/1MeEWN-I1oV_STSDYn1IFDPWt_1FKiwhDph83XaGc0o0/edit?usp=sharing"",""งบพรบ!CR39"")"),0)</f>
        <v>0</v>
      </c>
      <c r="M189" s="870">
        <f ca="1">IFERROR(__xludf.DUMMYFUNCTION("IMPORTRANGE(""https://docs.google.com/spreadsheets/d/1MeEWN-I1oV_STSDYn1IFDPWt_1FKiwhDph83XaGc0o0/edit?usp=sharing"",""งบพรบ!CU39"")"),0)</f>
        <v>0</v>
      </c>
      <c r="N189" s="870">
        <f ca="1">IFERROR(__xludf.DUMMYFUNCTION("IMPORTRANGE(""https://docs.google.com/spreadsheets/d/1MeEWN-I1oV_STSDYn1IFDPWt_1FKiwhDph83XaGc0o0/edit?usp=sharing"",""งบพรบ!CW39"")"),0)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IFERROR(__xludf.DUMMYFUNCTION("IMPORTRANGE(""https://docs.google.com/spreadsheets/d/1QqKyyYR6Q21VydFLVH3TRQUabQu_ym0Zz7PgGX0-kHA/edit?usp=sharing"",""แผน!Z39"")"),6000)</f>
        <v>6000</v>
      </c>
      <c r="M191" s="972"/>
      <c r="N191" s="1060">
        <v>3375</v>
      </c>
      <c r="O191" s="972">
        <f ca="1">IF(L191&gt;0,N191*100/L191,0)</f>
        <v>56.25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IFERROR(__xludf.DUMMYFUNCTION("IMPORTRANGE(""https://docs.google.com/spreadsheets/d/1QqKyyYR6Q21VydFLVH3TRQUabQu_ym0Zz7PgGX0-kHA/edit?usp=sharing"",""แผน!AC39"")"),4)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29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29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2</v>
      </c>
      <c r="J197" s="1057">
        <f t="shared" si="99"/>
        <v>2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31000</v>
      </c>
      <c r="M198" s="972"/>
      <c r="N198" s="972">
        <f>N199+N200+N201+N202</f>
        <v>29960</v>
      </c>
      <c r="O198" s="972">
        <f ca="1">IF(L198&gt;0,N198*100/L198,0)</f>
        <v>96.645161290322577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IFERROR(__xludf.DUMMYFUNCTION("IMPORTRANGE(""https://docs.google.com/spreadsheets/d/1QqKyyYR6Q21VydFLVH3TRQUabQu_ym0Zz7PgGX0-kHA/edit?usp=sharing"",""แผน!AE39"")"),2000)</f>
        <v>2000</v>
      </c>
      <c r="M199" s="864"/>
      <c r="N199" s="1064">
        <v>5960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IFERROR(__xludf.DUMMYFUNCTION("IMPORTRANGE(""https://docs.google.com/spreadsheets/d/1QqKyyYR6Q21VydFLVH3TRQUabQu_ym0Zz7PgGX0-kHA/edit?usp=sharing"",""แผน!AF39"")"),16000)</f>
        <v>16000</v>
      </c>
      <c r="M200" s="864"/>
      <c r="N200" s="1064">
        <v>16000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IFERROR(__xludf.DUMMYFUNCTION("IMPORTRANGE(""https://docs.google.com/spreadsheets/d/1QqKyyYR6Q21VydFLVH3TRQUabQu_ym0Zz7PgGX0-kHA/edit?usp=sharing"",""แผน!AG39"")"),8000)</f>
        <v>8000</v>
      </c>
      <c r="M201" s="864"/>
      <c r="N201" s="1064">
        <v>8000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IFERROR(__xludf.DUMMYFUNCTION("IMPORTRANGE(""https://docs.google.com/spreadsheets/d/1QqKyyYR6Q21VydFLVH3TRQUabQu_ym0Zz7PgGX0-kHA/edit?usp=sharing"",""แผน!AH39"")"),5000)</f>
        <v>5000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IFERROR(__xludf.DUMMYFUNCTION("IMPORTRANGE(""https://docs.google.com/spreadsheets/d/1QqKyyYR6Q21VydFLVH3TRQUabQu_ym0Zz7PgGX0-kHA/edit?usp=sharing"",""แผน!AI39"")"),2)</f>
        <v>2</v>
      </c>
      <c r="J204" s="992">
        <v>2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2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1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IFERROR(__xludf.DUMMYFUNCTION("IMPORTRANGE(""https://docs.google.com/spreadsheets/d/1QqKyyYR6Q21VydFLVH3TRQUabQu_ym0Zz7PgGX0-kHA/edit?usp=sharing"",""แผน!AK39"")"),0)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IFERROR(__xludf.DUMMYFUNCTION("IMPORTRANGE(""https://docs.google.com/spreadsheets/d/1QqKyyYR6Q21VydFLVH3TRQUabQu_ym0Zz7PgGX0-kHA/edit?usp=sharing"",""แผน!AL39"")"),0)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IFERROR(__xludf.DUMMYFUNCTION("IMPORTRANGE(""https://docs.google.com/spreadsheets/d/1QqKyyYR6Q21VydFLVH3TRQUabQu_ym0Zz7PgGX0-kHA/edit?usp=sharing"",""แผน!AM39"")"),0)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IFERROR(__xludf.DUMMYFUNCTION("IMPORTRANGE(""https://docs.google.com/spreadsheets/d/1QqKyyYR6Q21VydFLVH3TRQUabQu_ym0Zz7PgGX0-kHA/edit?usp=sharing"",""แผน!AN39"")"),0)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IFERROR(__xludf.DUMMYFUNCTION("IMPORTRANGE(""https://docs.google.com/spreadsheets/d/1QqKyyYR6Q21VydFLVH3TRQUabQu_ym0Zz7PgGX0-kHA/edit?usp=sharing"",""แผน!AN39"")"),0)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50000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18500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IFERROR(__xludf.DUMMYFUNCTION("IMPORTRANGE(""https://docs.google.com/spreadsheets/d/1QqKyyYR6Q21VydFLVH3TRQUabQu_ym0Zz7PgGX0-kHA/edit?usp=sharing"",""แผน!AP39"")"),5000)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IFERROR(__xludf.DUMMYFUNCTION("IMPORTRANGE(""https://docs.google.com/spreadsheets/d/1QqKyyYR6Q21VydFLVH3TRQUabQu_ym0Zz7PgGX0-kHA/edit?usp=sharing"",""แผน!AQ39"")"),13500)</f>
        <v>13500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IFERROR(__xludf.DUMMYFUNCTION("IMPORTRANGE(""https://docs.google.com/spreadsheets/d/1QqKyyYR6Q21VydFLVH3TRQUabQu_ym0Zz7PgGX0-kHA/edit?usp=sharing"",""แผน!AR39"")"),0)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IFERROR(__xludf.DUMMYFUNCTION("IMPORTRANGE(""https://docs.google.com/spreadsheets/d/1QqKyyYR6Q21VydFLVH3TRQUabQu_ym0Zz7PgGX0-kHA/edit?usp=sharing"",""แผน!AT39"")"),50000)</f>
        <v>50000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IFERROR(__xludf.DUMMYFUNCTION("IMPORTRANGE(""https://docs.google.com/spreadsheets/d/1QqKyyYR6Q21VydFLVH3TRQUabQu_ym0Zz7PgGX0-kHA/edit?usp=sharing"",""แผน!AT39"")"),50000)</f>
        <v>50000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IFERROR(__xludf.DUMMYFUNCTION("IMPORTRANGE(""https://docs.google.com/spreadsheets/d/1QqKyyYR6Q21VydFLVH3TRQUabQu_ym0Zz7PgGX0-kHA/edit?usp=sharing"",""แผน!AS39"")"),0)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IFERROR(__xludf.DUMMYFUNCTION("IMPORTRANGE(""https://docs.google.com/spreadsheets/d/1QqKyyYR6Q21VydFLVH3TRQUabQu_ym0Zz7PgGX0-kHA/edit?usp=sharing"",""แผน!AV39"")"),0)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IFERROR(__xludf.DUMMYFUNCTION("IMPORTRANGE(""https://docs.google.com/spreadsheets/d/1QqKyyYR6Q21VydFLVH3TRQUabQu_ym0Zz7PgGX0-kHA/edit?usp=sharing"",""แผน!AW39"")"),0)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IFERROR(__xludf.DUMMYFUNCTION("IMPORTRANGE(""https://docs.google.com/spreadsheets/d/1QqKyyYR6Q21VydFLVH3TRQUabQu_ym0Zz7PgGX0-kHA/edit?usp=sharing"",""แผน!AX39"")"),0)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IFERROR(__xludf.DUMMYFUNCTION("IMPORTRANGE(""https://docs.google.com/spreadsheets/d/1QqKyyYR6Q21VydFLVH3TRQUabQu_ym0Zz7PgGX0-kHA/edit?usp=sharing"",""แผน!AY39"")"),0)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IFERROR(__xludf.DUMMYFUNCTION("IMPORTRANGE(""https://docs.google.com/spreadsheets/d/1QqKyyYR6Q21VydFLVH3TRQUabQu_ym0Zz7PgGX0-kHA/edit?usp=sharing"",""แผน!BE39"")"),0)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IFERROR(__xludf.DUMMYFUNCTION("IMPORTRANGE(""https://docs.google.com/spreadsheets/d/1QqKyyYR6Q21VydFLVH3TRQUabQu_ym0Zz7PgGX0-kHA/edit?usp=sharing"",""แผน!AZ39"")"),0)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IFERROR(__xludf.DUMMYFUNCTION("IMPORTRANGE(""https://docs.google.com/spreadsheets/d/1QqKyyYR6Q21VydFLVH3TRQUabQu_ym0Zz7PgGX0-kHA/edit?usp=sharing"",""แผน!BA39"")"),0)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IFERROR(__xludf.DUMMYFUNCTION("IMPORTRANGE(""https://docs.google.com/spreadsheets/d/1QqKyyYR6Q21VydFLVH3TRQUabQu_ym0Zz7PgGX0-kHA/edit?usp=sharing"",""แผน!BB39"")"),0)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IFERROR(__xludf.DUMMYFUNCTION("IMPORTRANGE(""https://docs.google.com/spreadsheets/d/1QqKyyYR6Q21VydFLVH3TRQUabQu_ym0Zz7PgGX0-kHA/edit?usp=sharing"",""แผน!BC39"")"),0)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IFERROR(__xludf.DUMMYFUNCTION("IMPORTRANGE(""https://docs.google.com/spreadsheets/d/1QqKyyYR6Q21VydFLVH3TRQUabQu_ym0Zz7PgGX0-kHA/edit?usp=sharing"",""แผน!BF39"")"),0)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20150</v>
      </c>
      <c r="O261" s="972">
        <f t="shared" ref="O261:O269" ca="1" si="117">IF(L261&gt;0,N261*100/L261,0)</f>
        <v>74.907063197026019</v>
      </c>
      <c r="P261" s="972">
        <f t="shared" ref="P261:P269" ca="1" si="118">IF(M261&gt;0,N261*100/M261,0)</f>
        <v>84.309623430962347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20150</v>
      </c>
      <c r="O263" s="870">
        <f t="shared" ca="1" si="117"/>
        <v>74.907063197026019</v>
      </c>
      <c r="P263" s="870">
        <f t="shared" ca="1" si="118"/>
        <v>84.309623430962347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20150</v>
      </c>
      <c r="O264" s="864">
        <f t="shared" ca="1" si="117"/>
        <v>74.907063197026019</v>
      </c>
      <c r="P264" s="864">
        <f t="shared" ca="1" si="118"/>
        <v>84.309623430962347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IFERROR(__xludf.DUMMYFUNCTION("IMPORTRANGE(""https://docs.google.com/spreadsheets/d/1MeEWN-I1oV_STSDYn1IFDPWt_1FKiwhDph83XaGc0o0/edit?usp=sharing"",""งบพรบ!CY39"")"),26900)</f>
        <v>26900</v>
      </c>
      <c r="M266" s="870">
        <f ca="1">IFERROR(__xludf.DUMMYFUNCTION("IMPORTRANGE(""https://docs.google.com/spreadsheets/d/1MeEWN-I1oV_STSDYn1IFDPWt_1FKiwhDph83XaGc0o0/edit?usp=sharing"",""งบพรบ!DD39"")"),23900)</f>
        <v>23900</v>
      </c>
      <c r="N266" s="870">
        <f ca="1">IFERROR(__xludf.DUMMYFUNCTION("IMPORTRANGE(""https://docs.google.com/spreadsheets/d/1MeEWN-I1oV_STSDYn1IFDPWt_1FKiwhDph83XaGc0o0/edit?usp=sharing"",""งบพรบ!DF39"")"),20150)</f>
        <v>20150</v>
      </c>
      <c r="O266" s="870">
        <f t="shared" ca="1" si="117"/>
        <v>74.907063197026019</v>
      </c>
      <c r="P266" s="870">
        <f t="shared" ca="1" si="118"/>
        <v>84.309623430962347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IFERROR(__xludf.DUMMYFUNCTION("IMPORTRANGE(""https://docs.google.com/spreadsheets/d/1MeEWN-I1oV_STSDYn1IFDPWt_1FKiwhDph83XaGc0o0/edit?usp=sharing"",""งบพรบ!DB39"")"),0)</f>
        <v>0</v>
      </c>
      <c r="M269" s="870">
        <f ca="1">IFERROR(__xludf.DUMMYFUNCTION("IMPORTRANGE(""https://docs.google.com/spreadsheets/d/1MeEWN-I1oV_STSDYn1IFDPWt_1FKiwhDph83XaGc0o0/edit?usp=sharing"",""งบพรบ!DE39"")"),0)</f>
        <v>0</v>
      </c>
      <c r="N269" s="870">
        <f ca="1">IFERROR(__xludf.DUMMYFUNCTION("IMPORTRANGE(""https://docs.google.com/spreadsheets/d/1MeEWN-I1oV_STSDYn1IFDPWt_1FKiwhDph83XaGc0o0/edit?usp=sharing"",""งบพรบ!DG39"")"),0)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IFERROR(__xludf.DUMMYFUNCTION("IMPORTRANGE(""https://docs.google.com/spreadsheets/d/1QqKyyYR6Q21VydFLVH3TRQUabQu_ym0Zz7PgGX0-kHA/edit?usp=sharing"",""แผน!EA39"")"),22)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 hidden="1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 hidden="1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 hidden="1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 hidden="1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0</v>
      </c>
      <c r="J276" s="1141">
        <f t="shared" si="124"/>
        <v>0</v>
      </c>
      <c r="K276" s="1140">
        <f t="shared" ca="1" si="123"/>
        <v>0</v>
      </c>
      <c r="L276" s="1140"/>
      <c r="M276" s="1140"/>
      <c r="N276" s="1140"/>
      <c r="O276" s="1140"/>
      <c r="P276" s="1140"/>
    </row>
    <row r="277" spans="1:26" ht="19.5" hidden="1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0</v>
      </c>
      <c r="M277" s="972">
        <f t="shared" ca="1" si="125"/>
        <v>0</v>
      </c>
      <c r="N277" s="972">
        <f t="shared" ca="1" si="125"/>
        <v>0</v>
      </c>
      <c r="O277" s="972">
        <f t="shared" ref="O277:O285" ca="1" si="126">IF(L277&gt;0,N277*100/L277,0)</f>
        <v>0</v>
      </c>
      <c r="P277" s="972">
        <f t="shared" ref="P277:P285" ca="1" si="127">IF(M277&gt;0,N277*100/M277,0)</f>
        <v>0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0</v>
      </c>
      <c r="M279" s="870">
        <f t="shared" ca="1" si="128"/>
        <v>0</v>
      </c>
      <c r="N279" s="870">
        <f t="shared" ca="1" si="128"/>
        <v>0</v>
      </c>
      <c r="O279" s="870">
        <f t="shared" ca="1" si="126"/>
        <v>0</v>
      </c>
      <c r="P279" s="870">
        <f t="shared" ca="1" si="127"/>
        <v>0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 hidden="1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0</v>
      </c>
      <c r="M280" s="864">
        <f t="shared" ca="1" si="129"/>
        <v>0</v>
      </c>
      <c r="N280" s="864">
        <f t="shared" ca="1" si="129"/>
        <v>0</v>
      </c>
      <c r="O280" s="864">
        <f t="shared" ca="1" si="126"/>
        <v>0</v>
      </c>
      <c r="P280" s="864">
        <f t="shared" ca="1" si="127"/>
        <v>0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IFERROR(__xludf.DUMMYFUNCTION("IMPORTRANGE(""https://docs.google.com/spreadsheets/d/1MeEWN-I1oV_STSDYn1IFDPWt_1FKiwhDph83XaGc0o0/edit?usp=sharing"",""งบพรบ!DI39"")"),0)</f>
        <v>0</v>
      </c>
      <c r="M282" s="870">
        <f ca="1">IFERROR(__xludf.DUMMYFUNCTION("IMPORTRANGE(""https://docs.google.com/spreadsheets/d/1MeEWN-I1oV_STSDYn1IFDPWt_1FKiwhDph83XaGc0o0/edit?usp=sharing"",""งบพรบ!DN39"")"),0)</f>
        <v>0</v>
      </c>
      <c r="N282" s="870">
        <f ca="1">IFERROR(__xludf.DUMMYFUNCTION("IMPORTRANGE(""https://docs.google.com/spreadsheets/d/1MeEWN-I1oV_STSDYn1IFDPWt_1FKiwhDph83XaGc0o0/edit?usp=sharing"",""งบพรบ!DP39"")"),0)</f>
        <v>0</v>
      </c>
      <c r="O282" s="870">
        <f t="shared" ca="1" si="126"/>
        <v>0</v>
      </c>
      <c r="P282" s="870">
        <f t="shared" ca="1" si="127"/>
        <v>0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 hidden="1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IFERROR(__xludf.DUMMYFUNCTION("IMPORTRANGE(""https://docs.google.com/spreadsheets/d/1MeEWN-I1oV_STSDYn1IFDPWt_1FKiwhDph83XaGc0o0/edit?usp=sharing"",""งบพรบ!DL39"")"),0)</f>
        <v>0</v>
      </c>
      <c r="M285" s="870">
        <f ca="1">IFERROR(__xludf.DUMMYFUNCTION("IMPORTRANGE(""https://docs.google.com/spreadsheets/d/1MeEWN-I1oV_STSDYn1IFDPWt_1FKiwhDph83XaGc0o0/edit?usp=sharing"",""งบพรบ!DO39"")"),0)</f>
        <v>0</v>
      </c>
      <c r="N285" s="870">
        <f ca="1">IFERROR(__xludf.DUMMYFUNCTION("IMPORTRANGE(""https://docs.google.com/spreadsheets/d/1MeEWN-I1oV_STSDYn1IFDPWt_1FKiwhDph83XaGc0o0/edit?usp=sharing"",""งบพรบ!DQ39"")"),0)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 hidden="1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 hidden="1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IFERROR(__xludf.DUMMYFUNCTION("IMPORTRANGE(""https://docs.google.com/spreadsheets/d/1QqKyyYR6Q21VydFLVH3TRQUabQu_ym0Zz7PgGX0-kHA/edit?usp=sharing"",""แผน!EC39"")"),0)</f>
        <v>0</v>
      </c>
      <c r="J287" s="863">
        <v>0</v>
      </c>
      <c r="K287" s="978">
        <f t="shared" ref="K287:K288" ca="1" si="131">IF(I287&gt;0,J287*100/I287,0)</f>
        <v>0</v>
      </c>
      <c r="L287" s="978"/>
      <c r="M287" s="978"/>
      <c r="N287" s="978"/>
      <c r="O287" s="978"/>
      <c r="P287" s="978"/>
    </row>
    <row r="288" spans="1:26" ht="19.5" hidden="1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IFERROR(__xludf.DUMMYFUNCTION("IMPORTRANGE(""https://docs.google.com/spreadsheets/d/1QqKyyYR6Q21VydFLVH3TRQUabQu_ym0Zz7PgGX0-kHA/edit?usp=sharing"",""แผน!EB39"")"),0)</f>
        <v>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 hidden="1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 hidden="1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IFERROR(__xludf.DUMMYFUNCTION("IMPORTRANGE(""https://docs.google.com/spreadsheets/d/1QqKyyYR6Q21VydFLVH3TRQUabQu_ym0Zz7PgGX0-kHA/edit?usp=sharing"",""แผน!EB39"")"),0)</f>
        <v>0</v>
      </c>
      <c r="J290" s="992">
        <v>0</v>
      </c>
      <c r="K290" s="978">
        <f t="shared" ref="K290:K291" ca="1" si="132">IF(I290&gt;0,J290*100/I290,0)</f>
        <v>0</v>
      </c>
      <c r="L290" s="978"/>
      <c r="M290" s="978"/>
      <c r="N290" s="978"/>
      <c r="O290" s="978"/>
      <c r="P290" s="978"/>
    </row>
    <row r="291" spans="1:26" ht="19.5" hidden="1">
      <c r="A291" s="982"/>
      <c r="B291" s="983"/>
      <c r="C291" s="983"/>
      <c r="D291" s="990"/>
      <c r="E291" s="994" t="s">
        <v>344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IFERROR(__xludf.DUMMYFUNCTION("IMPORTRANGE(""https://docs.google.com/spreadsheets/d/1QqKyyYR6Q21VydFLVH3TRQUabQu_ym0Zz7PgGX0-kHA/edit?usp=sharing"",""แผน!EB39"")"),0)</f>
        <v>0</v>
      </c>
      <c r="J291" s="992">
        <v>0</v>
      </c>
      <c r="K291" s="978">
        <f t="shared" ca="1" si="132"/>
        <v>0</v>
      </c>
      <c r="L291" s="978"/>
      <c r="M291" s="978"/>
      <c r="N291" s="978"/>
      <c r="O291" s="978"/>
      <c r="P291" s="978"/>
    </row>
    <row r="292" spans="1:26" ht="19.5" hidden="1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 hidden="1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IFERROR(__xludf.DUMMYFUNCTION("IMPORTRANGE(""https://docs.google.com/spreadsheets/d/1QqKyyYR6Q21VydFLVH3TRQUabQu_ym0Zz7PgGX0-kHA/edit?usp=sharing"",""แผน!EB39"")"),0)</f>
        <v>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 hidden="1">
      <c r="A294" s="1112"/>
      <c r="B294" s="1113"/>
      <c r="C294" s="1113"/>
      <c r="D294" s="1115"/>
      <c r="E294" s="1149" t="s">
        <v>344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IFERROR(__xludf.DUMMYFUNCTION("IMPORTRANGE(""https://docs.google.com/spreadsheets/d/1QqKyyYR6Q21VydFLVH3TRQUabQu_ym0Zz7PgGX0-kHA/edit?usp=sharing"",""แผน!EB39"")"),0)</f>
        <v>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IFERROR(__xludf.DUMMYFUNCTION("IMPORTRANGE(""https://docs.google.com/spreadsheets/d/1MeEWN-I1oV_STSDYn1IFDPWt_1FKiwhDph83XaGc0o0/edit?usp=sharing"",""งบพรบ!DS39"")"),0)</f>
        <v>0</v>
      </c>
      <c r="M303" s="870">
        <f ca="1">IFERROR(__xludf.DUMMYFUNCTION("IMPORTRANGE(""https://docs.google.com/spreadsheets/d/1MeEWN-I1oV_STSDYn1IFDPWt_1FKiwhDph83XaGc0o0/edit?usp=sharing"",""งบพรบ!DX39"")"),0)</f>
        <v>0</v>
      </c>
      <c r="N303" s="870">
        <f ca="1">IFERROR(__xludf.DUMMYFUNCTION("IMPORTRANGE(""https://docs.google.com/spreadsheets/d/1MeEWN-I1oV_STSDYn1IFDPWt_1FKiwhDph83XaGc0o0/edit?usp=sharing"",""งบพรบ!DZ39"")"),0)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IFERROR(__xludf.DUMMYFUNCTION("IMPORTRANGE(""https://docs.google.com/spreadsheets/d/1MeEWN-I1oV_STSDYn1IFDPWt_1FKiwhDph83XaGc0o0/edit?usp=sharing"",""งบพรบ!DV39"")"),0)</f>
        <v>0</v>
      </c>
      <c r="M306" s="870">
        <f ca="1">IFERROR(__xludf.DUMMYFUNCTION("IMPORTRANGE(""https://docs.google.com/spreadsheets/d/1MeEWN-I1oV_STSDYn1IFDPWt_1FKiwhDph83XaGc0o0/edit?usp=sharing"",""งบพรบ!DY39"")"),0)</f>
        <v>0</v>
      </c>
      <c r="N306" s="870">
        <f ca="1">IFERROR(__xludf.DUMMYFUNCTION("IMPORTRANGE(""https://docs.google.com/spreadsheets/d/1MeEWN-I1oV_STSDYn1IFDPWt_1FKiwhDph83XaGc0o0/edit?usp=sharing"",""งบพรบ!EA39"")"),0)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IFERROR(__xludf.DUMMYFUNCTION("IMPORTRANGE(""https://docs.google.com/spreadsheets/d/1QqKyyYR6Q21VydFLVH3TRQUabQu_ym0Zz7PgGX0-kHA/edit?usp=sharing"",""แผน!ED39"")"),0)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IFERROR(__xludf.DUMMYFUNCTION("IMPORTRANGE(""https://docs.google.com/spreadsheets/d/1QqKyyYR6Q21VydFLVH3TRQUabQu_ym0Zz7PgGX0-kHA/edit?usp=sharing"",""แผน!ED39"")"),0)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IFERROR(__xludf.DUMMYFUNCTION("IMPORTRANGE(""https://docs.google.com/spreadsheets/d/1QqKyyYR6Q21VydFLVH3TRQUabQu_ym0Zz7PgGX0-kHA/edit?usp=sharing"",""แผน!ED39"")"),0)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IFERROR(__xludf.DUMMYFUNCTION("IMPORTRANGE(""https://docs.google.com/spreadsheets/d/1QqKyyYR6Q21VydFLVH3TRQUabQu_ym0Zz7PgGX0-kHA/edit?usp=sharing"",""แผน!EE39"")"),0)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IFERROR(__xludf.DUMMYFUNCTION("IMPORTRANGE(""https://docs.google.com/spreadsheets/d/1MeEWN-I1oV_STSDYn1IFDPWt_1FKiwhDph83XaGc0o0/edit?usp=sharing"",""งบพรบ!EC39"")"),0)</f>
        <v>0</v>
      </c>
      <c r="M320" s="870">
        <f ca="1">IFERROR(__xludf.DUMMYFUNCTION("IMPORTRANGE(""https://docs.google.com/spreadsheets/d/1MeEWN-I1oV_STSDYn1IFDPWt_1FKiwhDph83XaGc0o0/edit?usp=sharing"",""งบพรบ!EH39"")"),0)</f>
        <v>0</v>
      </c>
      <c r="N320" s="870">
        <f ca="1">IFERROR(__xludf.DUMMYFUNCTION("IMPORTRANGE(""https://docs.google.com/spreadsheets/d/1MeEWN-I1oV_STSDYn1IFDPWt_1FKiwhDph83XaGc0o0/edit?usp=sharing"",""งบพรบ!EJ39"")"),0)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IFERROR(__xludf.DUMMYFUNCTION("IMPORTRANGE(""https://docs.google.com/spreadsheets/d/1MeEWN-I1oV_STSDYn1IFDPWt_1FKiwhDph83XaGc0o0/edit?usp=sharing"",""งบพรบ!EF39"")"),0)</f>
        <v>0</v>
      </c>
      <c r="M323" s="870">
        <f ca="1">IFERROR(__xludf.DUMMYFUNCTION("IMPORTRANGE(""https://docs.google.com/spreadsheets/d/1MeEWN-I1oV_STSDYn1IFDPWt_1FKiwhDph83XaGc0o0/edit?usp=sharing"",""งบพรบ!EI39"")"),0)</f>
        <v>0</v>
      </c>
      <c r="N323" s="870">
        <f ca="1">IFERROR(__xludf.DUMMYFUNCTION("IMPORTRANGE(""https://docs.google.com/spreadsheets/d/1MeEWN-I1oV_STSDYn1IFDPWt_1FKiwhDph83XaGc0o0/edit?usp=sharing"",""งบพรบ!EK39"")"),0)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IFERROR(__xludf.DUMMYFUNCTION("IMPORTRANGE(""https://docs.google.com/spreadsheets/d/1QqKyyYR6Q21VydFLVH3TRQUabQu_ym0Zz7PgGX0-kHA/edit?usp=sharing"",""แผน!EF39"")"),0)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IFERROR(__xludf.DUMMYFUNCTION("IMPORTRANGE(""https://docs.google.com/spreadsheets/d/1QqKyyYR6Q21VydFLVH3TRQUabQu_ym0Zz7PgGX0-kHA/edit?usp=sharing"",""แผน!EG39"")"),1000)</f>
        <v>1000</v>
      </c>
      <c r="J327" s="1170">
        <f ca="1">J338+J341+J342+J343</f>
        <v>634</v>
      </c>
      <c r="K327" s="1171">
        <f ca="1">IF(I327&gt;0,J327*100/I327,0)</f>
        <v>63.4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161000</v>
      </c>
      <c r="M328" s="972">
        <f t="shared" ca="1" si="149"/>
        <v>123250</v>
      </c>
      <c r="N328" s="972">
        <f t="shared" ca="1" si="149"/>
        <v>71319</v>
      </c>
      <c r="O328" s="972">
        <f t="shared" ref="O328:O336" ca="1" si="150">IF(L328&gt;0,N328*100/L328,0)</f>
        <v>44.29751552795031</v>
      </c>
      <c r="P328" s="972">
        <f t="shared" ref="P328:P336" ca="1" si="151">IF(M328&gt;0,N328*100/M328,0)</f>
        <v>57.865314401622719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161000</v>
      </c>
      <c r="M330" s="870">
        <f t="shared" ca="1" si="152"/>
        <v>123250</v>
      </c>
      <c r="N330" s="870">
        <f t="shared" ca="1" si="152"/>
        <v>71319</v>
      </c>
      <c r="O330" s="870">
        <f t="shared" ca="1" si="150"/>
        <v>44.29751552795031</v>
      </c>
      <c r="P330" s="870">
        <f t="shared" ca="1" si="151"/>
        <v>57.865314401622719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161000</v>
      </c>
      <c r="M331" s="864">
        <f t="shared" ca="1" si="153"/>
        <v>123250</v>
      </c>
      <c r="N331" s="864">
        <f t="shared" ca="1" si="153"/>
        <v>71319</v>
      </c>
      <c r="O331" s="864">
        <f t="shared" ca="1" si="150"/>
        <v>44.29751552795031</v>
      </c>
      <c r="P331" s="864">
        <f t="shared" ca="1" si="151"/>
        <v>57.865314401622719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IFERROR(__xludf.DUMMYFUNCTION("IMPORTRANGE(""https://docs.google.com/spreadsheets/d/1MeEWN-I1oV_STSDYn1IFDPWt_1FKiwhDph83XaGc0o0/edit?usp=sharing"",""งบพรบ!EM39"")"),161000)</f>
        <v>161000</v>
      </c>
      <c r="M333" s="870">
        <f ca="1">IFERROR(__xludf.DUMMYFUNCTION("IMPORTRANGE(""https://docs.google.com/spreadsheets/d/1MeEWN-I1oV_STSDYn1IFDPWt_1FKiwhDph83XaGc0o0/edit?usp=sharing"",""งบพรบ!ER39"")"),123250)</f>
        <v>123250</v>
      </c>
      <c r="N333" s="870">
        <f ca="1">IFERROR(__xludf.DUMMYFUNCTION("IMPORTRANGE(""https://docs.google.com/spreadsheets/d/1MeEWN-I1oV_STSDYn1IFDPWt_1FKiwhDph83XaGc0o0/edit?usp=sharing"",""งบพรบ!ET39"")"),71319)</f>
        <v>71319</v>
      </c>
      <c r="O333" s="870">
        <f t="shared" ca="1" si="150"/>
        <v>44.29751552795031</v>
      </c>
      <c r="P333" s="870">
        <f t="shared" ca="1" si="151"/>
        <v>57.865314401622719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IFERROR(__xludf.DUMMYFUNCTION("IMPORTRANGE(""https://docs.google.com/spreadsheets/d/1MeEWN-I1oV_STSDYn1IFDPWt_1FKiwhDph83XaGc0o0/edit?usp=sharing"",""งบพรบ!EP39"")"),0)</f>
        <v>0</v>
      </c>
      <c r="M336" s="870">
        <f ca="1">IFERROR(__xludf.DUMMYFUNCTION("IMPORTRANGE(""https://docs.google.com/spreadsheets/d/1MeEWN-I1oV_STSDYn1IFDPWt_1FKiwhDph83XaGc0o0/edit?usp=sharing"",""งบพรบ!ES39"")"),0)</f>
        <v>0</v>
      </c>
      <c r="N336" s="870">
        <f ca="1">IFERROR(__xludf.DUMMYFUNCTION("IMPORTRANGE(""https://docs.google.com/spreadsheets/d/1MeEWN-I1oV_STSDYn1IFDPWt_1FKiwhDph83XaGc0o0/edit?usp=sharing"",""งบพรบ!EU39"")"),0)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IFERROR(__xludf.DUMMYFUNCTION("IMPORTRANGE(""https://docs.google.com/spreadsheets/d/1QqKyyYR6Q21VydFLVH3TRQUabQu_ym0Zz7PgGX0-kHA/edit?usp=sharing"",""แผน!EG39"")"),1000)</f>
        <v>1000</v>
      </c>
      <c r="J338" s="863">
        <f ca="1">IFERROR(__xludf.DUMMYFUNCTION("IMPORTRANGE(""https://docs.google.com/spreadsheets/d/1kVcqe37tkHyjCSG3S0O1AXqVkqjo8mSIZil3BcpIysc/edit?usp=sharing"",""ศูนย์!D39"")"),593)</f>
        <v>593</v>
      </c>
      <c r="K338" s="864">
        <f ca="1">IF(I338&gt;0,J338*100/I338,0)</f>
        <v>59.3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IFERROR(__xludf.DUMMYFUNCTION("IMPORTRANGE(""https://docs.google.com/spreadsheets/d/1QqKyyYR6Q21VydFLVH3TRQUabQu_ym0Zz7PgGX0-kHA/edit?usp=sharing"",""แผน!EH39"")"),4)</f>
        <v>4</v>
      </c>
      <c r="J340" s="863">
        <f ca="1">IFERROR(__xludf.DUMMYFUNCTION("IMPORTRANGE(""https://docs.google.com/spreadsheets/d/1kVcqe37tkHyjCSG3S0O1AXqVkqjo8mSIZil3BcpIysc/edit?usp=sharing"",""ศูนย์!E39"")"),1)</f>
        <v>1</v>
      </c>
      <c r="K340" s="864">
        <f ca="1">IF(I340&gt;0,J340*100/I340,0)</f>
        <v>25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IFERROR(__xludf.DUMMYFUNCTION("IMPORTRANGE(""https://docs.google.com/spreadsheets/d/1kVcqe37tkHyjCSG3S0O1AXqVkqjo8mSIZil3BcpIysc/edit?usp=sharing"",""ศูนย์!F39"")"),41)</f>
        <v>41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IFERROR(__xludf.DUMMYFUNCTION("IMPORTRANGE(""https://docs.google.com/spreadsheets/d/1kVcqe37tkHyjCSG3S0O1AXqVkqjo8mSIZil3BcpIysc/edit?usp=sharing"",""ศูนย์!G39"")"),0)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IFERROR(__xludf.DUMMYFUNCTION("IMPORTRANGE(""https://docs.google.com/spreadsheets/d/1kVcqe37tkHyjCSG3S0O1AXqVkqjo8mSIZil3BcpIysc/edit?usp=sharing"",""ศูนย์!H39"")"),0)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491410</v>
      </c>
      <c r="M345" s="972">
        <f t="shared" ca="1" si="155"/>
        <v>379770</v>
      </c>
      <c r="N345" s="972">
        <f t="shared" ca="1" si="155"/>
        <v>196306.3</v>
      </c>
      <c r="O345" s="972">
        <f t="shared" ref="O345:O353" ca="1" si="156">IF(L345&gt;0,N345*100/L345,0)</f>
        <v>39.947559064732097</v>
      </c>
      <c r="P345" s="972">
        <f t="shared" ref="P345:P353" ca="1" si="157">IF(M345&gt;0,N345*100/M345,0)</f>
        <v>51.690839192142612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491410</v>
      </c>
      <c r="M347" s="870">
        <f t="shared" ca="1" si="158"/>
        <v>379770</v>
      </c>
      <c r="N347" s="870">
        <f t="shared" ca="1" si="158"/>
        <v>196306.3</v>
      </c>
      <c r="O347" s="870">
        <f t="shared" ca="1" si="156"/>
        <v>39.947559064732097</v>
      </c>
      <c r="P347" s="870">
        <f t="shared" ca="1" si="157"/>
        <v>51.690839192142612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431410</v>
      </c>
      <c r="M348" s="864">
        <f t="shared" ca="1" si="159"/>
        <v>319770</v>
      </c>
      <c r="N348" s="864">
        <f t="shared" ca="1" si="159"/>
        <v>136306.29999999999</v>
      </c>
      <c r="O348" s="864">
        <f t="shared" ca="1" si="156"/>
        <v>31.595535569411926</v>
      </c>
      <c r="P348" s="864">
        <f t="shared" ca="1" si="157"/>
        <v>42.626356443693901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IFERROR(__xludf.DUMMYFUNCTION("IMPORTRANGE(""https://docs.google.com/spreadsheets/d/1MeEWN-I1oV_STSDYn1IFDPWt_1FKiwhDph83XaGc0o0/edit?usp=sharing"",""งบพรบ!EW39"")"),431410)</f>
        <v>431410</v>
      </c>
      <c r="M350" s="870">
        <f ca="1">IFERROR(__xludf.DUMMYFUNCTION("IMPORTRANGE(""https://docs.google.com/spreadsheets/d/1MeEWN-I1oV_STSDYn1IFDPWt_1FKiwhDph83XaGc0o0/edit?usp=sharing"",""งบพรบ!FB39"")"),319770)</f>
        <v>319770</v>
      </c>
      <c r="N350" s="870">
        <f ca="1">IFERROR(__xludf.DUMMYFUNCTION("IMPORTRANGE(""https://docs.google.com/spreadsheets/d/1MeEWN-I1oV_STSDYn1IFDPWt_1FKiwhDph83XaGc0o0/edit?usp=sharing"",""งบพรบ!FD39"")"),136306.3)</f>
        <v>136306.29999999999</v>
      </c>
      <c r="O350" s="870">
        <f t="shared" ca="1" si="156"/>
        <v>31.595535569411926</v>
      </c>
      <c r="P350" s="870">
        <f t="shared" ca="1" si="157"/>
        <v>42.626356443693901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60000</v>
      </c>
      <c r="M351" s="864">
        <f t="shared" ca="1" si="160"/>
        <v>60000</v>
      </c>
      <c r="N351" s="864">
        <f t="shared" ca="1" si="160"/>
        <v>60000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IFERROR(__xludf.DUMMYFUNCTION("IMPORTRANGE(""https://docs.google.com/spreadsheets/d/1MeEWN-I1oV_STSDYn1IFDPWt_1FKiwhDph83XaGc0o0/edit?usp=sharing"",""งบพรบ!EZ39"")"),60000)</f>
        <v>60000</v>
      </c>
      <c r="M353" s="870">
        <f ca="1">IFERROR(__xludf.DUMMYFUNCTION("IMPORTRANGE(""https://docs.google.com/spreadsheets/d/1MeEWN-I1oV_STSDYn1IFDPWt_1FKiwhDph83XaGc0o0/edit?usp=sharing"",""งบพรบ!FC39"")"),60000)</f>
        <v>60000</v>
      </c>
      <c r="N353" s="870">
        <f ca="1">IFERROR(__xludf.DUMMYFUNCTION("IMPORTRANGE(""https://docs.google.com/spreadsheets/d/1MeEWN-I1oV_STSDYn1IFDPWt_1FKiwhDph83XaGc0o0/edit?usp=sharing"",""งบพรบ!FE39"")"),60000)</f>
        <v>60000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IFERROR(__xludf.DUMMYFUNCTION("IMPORTRANGE(""https://docs.google.com/spreadsheets/d/1QqKyyYR6Q21VydFLVH3TRQUabQu_ym0Zz7PgGX0-kHA/edit?usp=sharing"",""แผน!EP39"")"),115)</f>
        <v>115</v>
      </c>
      <c r="J355" s="1186">
        <f ca="1">J362</f>
        <v>20</v>
      </c>
      <c r="K355" s="1187">
        <f ca="1">IF(I355&gt;0,J355*100/I355,0)</f>
        <v>17.391304347826086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IFERROR(__xludf.DUMMYFUNCTION("IMPORTRANGE(""https://docs.google.com/spreadsheets/d/1XWAQStnk-4SwqDmLtmXYiTMKHgktTP8We1SCoS47DrQ/edit?usp=sharing"",""จัดที่ดิน!W39"")"),27)</f>
        <v>27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IFERROR(__xludf.DUMMYFUNCTION("IMPORTRANGE(""https://docs.google.com/spreadsheets/d/1QqKyyYR6Q21VydFLVH3TRQUabQu_ym0Zz7PgGX0-kHA/edit?usp=sharing"",""แผน!EO39"")"),1150)</f>
        <v>1150</v>
      </c>
      <c r="J359" s="863">
        <f ca="1">IFERROR(__xludf.DUMMYFUNCTION("IMPORTRANGE(""https://docs.google.com/spreadsheets/d/1XWAQStnk-4SwqDmLtmXYiTMKHgktTP8We1SCoS47DrQ/edit?usp=sharing"",""จัดที่ดิน!X39"")"),345.32)</f>
        <v>345.32</v>
      </c>
      <c r="K359" s="864">
        <f t="shared" ca="1" si="161"/>
        <v>30.027826086956523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IFERROR(__xludf.DUMMYFUNCTION("IMPORTRANGE(""https://docs.google.com/spreadsheets/d/1QqKyyYR6Q21VydFLVH3TRQUabQu_ym0Zz7PgGX0-kHA/edit?usp=sharing"",""แผน!EP39"")"),115)</f>
        <v>115</v>
      </c>
      <c r="J360" s="863">
        <f ca="1">IFERROR(__xludf.DUMMYFUNCTION("IMPORTRANGE(""https://docs.google.com/spreadsheets/d/1XWAQStnk-4SwqDmLtmXYiTMKHgktTP8We1SCoS47DrQ/edit?usp=sharing"",""จัดที่ดิน!Y39"")"),27)</f>
        <v>27</v>
      </c>
      <c r="K360" s="864">
        <f t="shared" ca="1" si="161"/>
        <v>23.478260869565219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IFERROR(__xludf.DUMMYFUNCTION("IMPORTRANGE(""https://docs.google.com/spreadsheets/d/1XWAQStnk-4SwqDmLtmXYiTMKHgktTP8We1SCoS47DrQ/edit?usp=sharing"",""จัดที่ดิน!Z39"")"),345.32)</f>
        <v>345.32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IFERROR(__xludf.DUMMYFUNCTION("IMPORTRANGE(""https://docs.google.com/spreadsheets/d/1QqKyyYR6Q21VydFLVH3TRQUabQu_ym0Zz7PgGX0-kHA/edit?usp=sharing"",""แผน!EP39"")"),115)</f>
        <v>115</v>
      </c>
      <c r="J362" s="863">
        <f ca="1">IFERROR(__xludf.DUMMYFUNCTION("IMPORTRANGE(""https://docs.google.com/spreadsheets/d/1XWAQStnk-4SwqDmLtmXYiTMKHgktTP8We1SCoS47DrQ/edit?usp=sharing"",""จัดที่ดิน!AA39"")"),20)</f>
        <v>20</v>
      </c>
      <c r="K362" s="864">
        <f t="shared" ca="1" si="161"/>
        <v>17.391304347826086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IFERROR(__xludf.DUMMYFUNCTION("IMPORTRANGE(""https://docs.google.com/spreadsheets/d/1XWAQStnk-4SwqDmLtmXYiTMKHgktTP8We1SCoS47DrQ/edit?usp=sharing"",""จัดที่ดิน!AB39"")"),264.83)</f>
        <v>264.83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315</v>
      </c>
      <c r="J364" s="1199">
        <f t="shared" ca="1" si="162"/>
        <v>108</v>
      </c>
      <c r="K364" s="1200">
        <f t="shared" ca="1" si="161"/>
        <v>34.285714285714285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IFERROR(__xludf.DUMMYFUNCTION("IMPORTRANGE(""https://docs.google.com/spreadsheets/d/1QqKyyYR6Q21VydFLVH3TRQUabQu_ym0Zz7PgGX0-kHA/edit?usp=sharing"",""แผน!EJ39"")"),15)</f>
        <v>15</v>
      </c>
      <c r="J365" s="1207">
        <f ca="1">J372</f>
        <v>0</v>
      </c>
      <c r="K365" s="1208">
        <f t="shared" ca="1" si="161"/>
        <v>0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IFERROR(__xludf.DUMMYFUNCTION("IMPORTRANGE(""https://docs.google.com/spreadsheets/d/1XWAQStnk-4SwqDmLtmXYiTMKHgktTP8We1SCoS47DrQ/edit?usp=sharing"",""จัดที่ดิน!E39"")"),3)</f>
        <v>3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IFERROR(__xludf.DUMMYFUNCTION("IMPORTRANGE(""https://docs.google.com/spreadsheets/d/1QqKyyYR6Q21VydFLVH3TRQUabQu_ym0Zz7PgGX0-kHA/edit?usp=sharing"",""แผน!EI39"")"),150)</f>
        <v>150</v>
      </c>
      <c r="J369" s="863">
        <f ca="1">IFERROR(__xludf.DUMMYFUNCTION("IMPORTRANGE(""https://docs.google.com/spreadsheets/d/1XWAQStnk-4SwqDmLtmXYiTMKHgktTP8We1SCoS47DrQ/edit?usp=sharing"",""จัดที่ดิน!F39"")"),4.71)</f>
        <v>4.71</v>
      </c>
      <c r="K369" s="864">
        <f t="shared" ca="1" si="163"/>
        <v>3.14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IFERROR(__xludf.DUMMYFUNCTION("IMPORTRANGE(""https://docs.google.com/spreadsheets/d/1QqKyyYR6Q21VydFLVH3TRQUabQu_ym0Zz7PgGX0-kHA/edit?usp=sharing"",""แผน!EJ39"")"),15)</f>
        <v>15</v>
      </c>
      <c r="J370" s="863">
        <f ca="1">IFERROR(__xludf.DUMMYFUNCTION("IMPORTRANGE(""https://docs.google.com/spreadsheets/d/1XWAQStnk-4SwqDmLtmXYiTMKHgktTP8We1SCoS47DrQ/edit?usp=sharing"",""จัดที่ดิน!G39"")"),3)</f>
        <v>3</v>
      </c>
      <c r="K370" s="864">
        <f t="shared" ca="1" si="163"/>
        <v>20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IFERROR(__xludf.DUMMYFUNCTION("IMPORTRANGE(""https://docs.google.com/spreadsheets/d/1XWAQStnk-4SwqDmLtmXYiTMKHgktTP8We1SCoS47DrQ/edit?usp=sharing"",""จัดที่ดิน!H39"")"),4.71)</f>
        <v>4.71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IFERROR(__xludf.DUMMYFUNCTION("IMPORTRANGE(""https://docs.google.com/spreadsheets/d/1QqKyyYR6Q21VydFLVH3TRQUabQu_ym0Zz7PgGX0-kHA/edit?usp=sharing"",""แผน!EJ39"")"),15)</f>
        <v>15</v>
      </c>
      <c r="J372" s="863">
        <f ca="1">IFERROR(__xludf.DUMMYFUNCTION("IMPORTRANGE(""https://docs.google.com/spreadsheets/d/1XWAQStnk-4SwqDmLtmXYiTMKHgktTP8We1SCoS47DrQ/edit?usp=sharing"",""จัดที่ดิน!I39"")"),0)</f>
        <v>0</v>
      </c>
      <c r="K372" s="864">
        <f t="shared" ca="1" si="163"/>
        <v>0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IFERROR(__xludf.DUMMYFUNCTION("IMPORTRANGE(""https://docs.google.com/spreadsheets/d/1XWAQStnk-4SwqDmLtmXYiTMKHgktTP8We1SCoS47DrQ/edit?usp=sharing"",""จัดที่ดิน!J39"")"),0)</f>
        <v>0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IFERROR(__xludf.DUMMYFUNCTION("IMPORTRANGE(""https://docs.google.com/spreadsheets/d/1QqKyyYR6Q21VydFLVH3TRQUabQu_ym0Zz7PgGX0-kHA/edit?usp=sharing"",""แผน!EU39"")"),300)</f>
        <v>300</v>
      </c>
      <c r="J374" s="1207">
        <f ca="1">J381</f>
        <v>108</v>
      </c>
      <c r="K374" s="1208">
        <f t="shared" ca="1" si="163"/>
        <v>36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IFERROR(__xludf.DUMMYFUNCTION("IMPORTRANGE(""https://docs.google.com/spreadsheets/d/1XWAQStnk-4SwqDmLtmXYiTMKHgktTP8We1SCoS47DrQ/edit?usp=sharing"",""จัดที่ดิน!AH39"")"),24)</f>
        <v>24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IFERROR(__xludf.DUMMYFUNCTION("IMPORTRANGE(""https://docs.google.com/spreadsheets/d/1QqKyyYR6Q21VydFLVH3TRQUabQu_ym0Zz7PgGX0-kHA/edit?usp=sharing"",""แผน!ET39"")"),1000)</f>
        <v>1000</v>
      </c>
      <c r="J378" s="863">
        <f ca="1">IFERROR(__xludf.DUMMYFUNCTION("IMPORTRANGE(""https://docs.google.com/spreadsheets/d/1XWAQStnk-4SwqDmLtmXYiTMKHgktTP8We1SCoS47DrQ/edit?usp=sharing"",""จัดที่ดิน!AI39"")"),340.61)</f>
        <v>340.61</v>
      </c>
      <c r="K378" s="864">
        <f t="shared" ca="1" si="164"/>
        <v>34.061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IFERROR(__xludf.DUMMYFUNCTION("IMPORTRANGE(""https://docs.google.com/spreadsheets/d/1QqKyyYR6Q21VydFLVH3TRQUabQu_ym0Zz7PgGX0-kHA/edit?usp=sharing"",""แผน!EU39"")"),300)</f>
        <v>300</v>
      </c>
      <c r="J379" s="863">
        <f ca="1">IFERROR(__xludf.DUMMYFUNCTION("IMPORTRANGE(""https://docs.google.com/spreadsheets/d/1XWAQStnk-4SwqDmLtmXYiTMKHgktTP8We1SCoS47DrQ/edit?usp=sharing"",""จัดที่ดิน!AJ39"")"),186)</f>
        <v>186</v>
      </c>
      <c r="K379" s="864">
        <f t="shared" ca="1" si="164"/>
        <v>62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IFERROR(__xludf.DUMMYFUNCTION("IMPORTRANGE(""https://docs.google.com/spreadsheets/d/1XWAQStnk-4SwqDmLtmXYiTMKHgktTP8We1SCoS47DrQ/edit?usp=sharing"",""จัดที่ดิน!AK39"")"),2141.79)</f>
        <v>2141.79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IFERROR(__xludf.DUMMYFUNCTION("IMPORTRANGE(""https://docs.google.com/spreadsheets/d/1QqKyyYR6Q21VydFLVH3TRQUabQu_ym0Zz7PgGX0-kHA/edit?usp=sharing"",""แผน!EU39"")"),300)</f>
        <v>300</v>
      </c>
      <c r="J381" s="863">
        <f ca="1">IFERROR(__xludf.DUMMYFUNCTION("IMPORTRANGE(""https://docs.google.com/spreadsheets/d/1XWAQStnk-4SwqDmLtmXYiTMKHgktTP8We1SCoS47DrQ/edit?usp=sharing"",""จัดที่ดิน!AL39"")"),108)</f>
        <v>108</v>
      </c>
      <c r="K381" s="864">
        <f t="shared" ca="1" si="164"/>
        <v>36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IFERROR(__xludf.DUMMYFUNCTION("IMPORTRANGE(""https://docs.google.com/spreadsheets/d/1XWAQStnk-4SwqDmLtmXYiTMKHgktTP8We1SCoS47DrQ/edit?usp=sharing"",""จัดที่ดิน!AM39"")"),1352.38999999999)</f>
        <v>1352.3899999999901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IFERROR(__xludf.DUMMYFUNCTION("IMPORTRANGE(""https://docs.google.com/spreadsheets/d/1QqKyyYR6Q21VydFLVH3TRQUabQu_ym0Zz7PgGX0-kHA/edit?usp=sharing"",""แผน!EW39"")"),20)</f>
        <v>20</v>
      </c>
      <c r="J385" s="1117">
        <f ca="1">IFERROR(__xludf.DUMMYFUNCTION("IMPORTRANGE(""https://docs.google.com/spreadsheets/d/1XWAQStnk-4SwqDmLtmXYiTMKHgktTP8We1SCoS47DrQ/edit?usp=sharing"",""จัดที่ดิน!AP39"")"),0)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IFERROR(__xludf.DUMMYFUNCTION("IMPORTRANGE(""https://docs.google.com/spreadsheets/d/1MeEWN-I1oV_STSDYn1IFDPWt_1FKiwhDph83XaGc0o0/edit?usp=sharing"",""งบพรบ!FG39"")"),0)</f>
        <v>0</v>
      </c>
      <c r="M394" s="870">
        <f ca="1">IFERROR(__xludf.DUMMYFUNCTION("IMPORTRANGE(""https://docs.google.com/spreadsheets/d/1MeEWN-I1oV_STSDYn1IFDPWt_1FKiwhDph83XaGc0o0/edit?usp=sharing"",""งบพรบ!FL39"")"),0)</f>
        <v>0</v>
      </c>
      <c r="N394" s="870">
        <f ca="1">IFERROR(__xludf.DUMMYFUNCTION("IMPORTRANGE(""https://docs.google.com/spreadsheets/d/1MeEWN-I1oV_STSDYn1IFDPWt_1FKiwhDph83XaGc0o0/edit?usp=sharing"",""งบพรบ!FN39"")"),0)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IFERROR(__xludf.DUMMYFUNCTION("IMPORTRANGE(""https://docs.google.com/spreadsheets/d/1MeEWN-I1oV_STSDYn1IFDPWt_1FKiwhDph83XaGc0o0/edit?usp=sharing"",""งบพรบ!FJ39"")"),0)</f>
        <v>0</v>
      </c>
      <c r="M397" s="870">
        <f ca="1">IFERROR(__xludf.DUMMYFUNCTION("IMPORTRANGE(""https://docs.google.com/spreadsheets/d/1MeEWN-I1oV_STSDYn1IFDPWt_1FKiwhDph83XaGc0o0/edit?usp=sharing"",""งบพรบ!FM39"")"),0)</f>
        <v>0</v>
      </c>
      <c r="N397" s="870">
        <f ca="1">IFERROR(__xludf.DUMMYFUNCTION("IMPORTRANGE(""https://docs.google.com/spreadsheets/d/1MeEWN-I1oV_STSDYn1IFDPWt_1FKiwhDph83XaGc0o0/edit?usp=sharing"",""งบพรบ!FO39"")"),0)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IFERROR(__xludf.DUMMYFUNCTION("IMPORTRANGE(""https://docs.google.com/spreadsheets/d/1MeEWN-I1oV_STSDYn1IFDPWt_1FKiwhDph83XaGc0o0/edit?usp=sharing"",""งบพรบ!FQ39"")"),0)</f>
        <v>0</v>
      </c>
      <c r="M407" s="870">
        <f ca="1">IFERROR(__xludf.DUMMYFUNCTION("IMPORTRANGE(""https://docs.google.com/spreadsheets/d/1MeEWN-I1oV_STSDYn1IFDPWt_1FKiwhDph83XaGc0o0/edit?usp=sharing"",""งบพรบ!FV39"")"),0)</f>
        <v>0</v>
      </c>
      <c r="N407" s="870">
        <f ca="1">IFERROR(__xludf.DUMMYFUNCTION("IMPORTRANGE(""https://docs.google.com/spreadsheets/d/1MeEWN-I1oV_STSDYn1IFDPWt_1FKiwhDph83XaGc0o0/edit?usp=sharing"",""งบพรบ!FX39"")"),0)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IFERROR(__xludf.DUMMYFUNCTION("IMPORTRANGE(""https://docs.google.com/spreadsheets/d/1MeEWN-I1oV_STSDYn1IFDPWt_1FKiwhDph83XaGc0o0/edit?usp=sharing"",""งบพรบ!FT39"")"),0)</f>
        <v>0</v>
      </c>
      <c r="M410" s="870">
        <f ca="1">IFERROR(__xludf.DUMMYFUNCTION("IMPORTRANGE(""https://docs.google.com/spreadsheets/d/1MeEWN-I1oV_STSDYn1IFDPWt_1FKiwhDph83XaGc0o0/edit?usp=sharing"",""งบพรบ!FW39"")"),0)</f>
        <v>0</v>
      </c>
      <c r="N410" s="870">
        <f ca="1">IFERROR(__xludf.DUMMYFUNCTION("IMPORTRANGE(""https://docs.google.com/spreadsheets/d/1MeEWN-I1oV_STSDYn1IFDPWt_1FKiwhDph83XaGc0o0/edit?usp=sharing"",""งบพรบ!FY39"")"),0)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2432730</v>
      </c>
      <c r="M414" s="1257">
        <f t="shared" si="181"/>
        <v>0</v>
      </c>
      <c r="N414" s="1257">
        <f t="shared" si="181"/>
        <v>589285.4</v>
      </c>
      <c r="O414" s="1257">
        <f ca="1">IF(L414&gt;0,N414*100/L414,0)</f>
        <v>24.223214249012425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98560</v>
      </c>
      <c r="M419" s="972">
        <f t="shared" si="184"/>
        <v>0</v>
      </c>
      <c r="N419" s="972">
        <f t="shared" si="184"/>
        <v>75276</v>
      </c>
      <c r="O419" s="972">
        <f t="shared" ref="O419:O424" ca="1" si="185">IF(L419&gt;0,N419*100/L419,0)</f>
        <v>76.375811688311686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98560</v>
      </c>
      <c r="M421" s="870">
        <f t="shared" si="187"/>
        <v>0</v>
      </c>
      <c r="N421" s="870">
        <f t="shared" si="187"/>
        <v>75276</v>
      </c>
      <c r="O421" s="870">
        <f t="shared" ca="1" si="185"/>
        <v>76.375811688311686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98560</v>
      </c>
      <c r="M422" s="864">
        <f t="shared" si="188"/>
        <v>0</v>
      </c>
      <c r="N422" s="864">
        <f t="shared" si="188"/>
        <v>75276</v>
      </c>
      <c r="O422" s="864">
        <f t="shared" ca="1" si="185"/>
        <v>76.375811688311686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IFERROR(__xludf.DUMMYFUNCTION("IMPORTRANGE(""https://docs.google.com/spreadsheets/d/1QqKyyYR6Q21VydFLVH3TRQUabQu_ym0Zz7PgGX0-kHA/edit?usp=sharing"",""แผน!EY39"")"),98560)</f>
        <v>98560</v>
      </c>
      <c r="M424" s="870">
        <v>0</v>
      </c>
      <c r="N424" s="870">
        <f>N425+N426+N427+N428</f>
        <v>75276</v>
      </c>
      <c r="O424" s="870">
        <f t="shared" ca="1" si="185"/>
        <v>76.375811688311686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70556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4720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IFERROR(__xludf.DUMMYFUNCTION("IMPORTRANGE(""https://docs.google.com/spreadsheets/d/1QqKyyYR6Q21VydFLVH3TRQUabQu_ym0Zz7PgGX0-kHA/edit?usp=sharing"",""แผน!FB39"")"),0)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IFERROR(__xludf.DUMMYFUNCTION("IMPORTRANGE(""https://docs.google.com/spreadsheets/d/1QqKyyYR6Q21VydFLVH3TRQUabQu_ym0Zz7PgGX0-kHA/edit?usp=sharing"",""แผน!FC39"")"),20)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IFERROR(__xludf.DUMMYFUNCTION("IMPORTRANGE(""https://docs.google.com/spreadsheets/d/1QqKyyYR6Q21VydFLVH3TRQUabQu_ym0Zz7PgGX0-kHA/edit?usp=sharing"",""แผน!FD39"")"),0)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IFERROR(__xludf.DUMMYFUNCTION("IMPORTRANGE(""https://docs.google.com/spreadsheets/d/1QqKyyYR6Q21VydFLVH3TRQUabQu_ym0Zz7PgGX0-kHA/edit?usp=sharing"",""แผน!FE39"")"),0)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IFERROR(__xludf.DUMMYFUNCTION("IMPORTRANGE(""https://docs.google.com/spreadsheets/d/1QqKyyYR6Q21VydFLVH3TRQUabQu_ym0Zz7PgGX0-kHA/edit?usp=sharing"",""แผน!FF39"")"),20)</f>
        <v>20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IFERROR(__xludf.DUMMYFUNCTION("IMPORTRANGE(""https://docs.google.com/spreadsheets/d/1QqKyyYR6Q21VydFLVH3TRQUabQu_ym0Zz7PgGX0-kHA/edit?usp=sharing"",""แผน!FG39"")"),1)</f>
        <v>1</v>
      </c>
      <c r="J440" s="992">
        <v>0</v>
      </c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IFERROR(__xludf.DUMMYFUNCTION("IMPORTRANGE(""https://docs.google.com/spreadsheets/d/1QqKyyYR6Q21VydFLVH3TRQUabQu_ym0Zz7PgGX0-kHA/edit?usp=sharing"",""แผน!FH39"")"),0)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100</v>
      </c>
      <c r="J442" s="1285">
        <f t="shared" si="195"/>
        <v>80</v>
      </c>
      <c r="K442" s="1286">
        <f t="shared" ca="1" si="194"/>
        <v>80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240</v>
      </c>
      <c r="J443" s="1270">
        <f t="shared" si="196"/>
        <v>200</v>
      </c>
      <c r="K443" s="1271">
        <f t="shared" ca="1" si="194"/>
        <v>83.333333333333329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614288</v>
      </c>
      <c r="M444" s="1000">
        <f t="shared" si="197"/>
        <v>0</v>
      </c>
      <c r="N444" s="1000">
        <f t="shared" si="197"/>
        <v>159640</v>
      </c>
      <c r="O444" s="1000">
        <f t="shared" ref="O444:O449" ca="1" si="198">IF(L444&gt;0,N444*100/L444,0)</f>
        <v>25.987810277915244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614288</v>
      </c>
      <c r="M446" s="870">
        <f t="shared" si="200"/>
        <v>0</v>
      </c>
      <c r="N446" s="870">
        <f t="shared" si="200"/>
        <v>159640</v>
      </c>
      <c r="O446" s="870">
        <f t="shared" ca="1" si="198"/>
        <v>25.987810277915244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614288</v>
      </c>
      <c r="M447" s="864">
        <f t="shared" si="201"/>
        <v>0</v>
      </c>
      <c r="N447" s="864">
        <f t="shared" si="201"/>
        <v>159640</v>
      </c>
      <c r="O447" s="864">
        <f t="shared" ca="1" si="198"/>
        <v>25.987810277915244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IFERROR(__xludf.DUMMYFUNCTION("IMPORTRANGE(""https://docs.google.com/spreadsheets/d/1QqKyyYR6Q21VydFLVH3TRQUabQu_ym0Zz7PgGX0-kHA/edit?usp=sharing"",""แผน!FJ39"")"),614288)</f>
        <v>614288</v>
      </c>
      <c r="M449" s="870">
        <v>0</v>
      </c>
      <c r="N449" s="870">
        <f>N450+N451+N452+N453</f>
        <v>159640</v>
      </c>
      <c r="O449" s="870">
        <f t="shared" ca="1" si="198"/>
        <v>25.987810277915244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86180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3500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17960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IFERROR(__xludf.DUMMYFUNCTION("IMPORTRANGE(""https://docs.google.com/spreadsheets/d/1QqKyyYR6Q21VydFLVH3TRQUabQu_ym0Zz7PgGX0-kHA/edit?usp=sharing"",""แผน!FM39"")"),0)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IFERROR(__xludf.DUMMYFUNCTION("IMPORTRANGE(""https://docs.google.com/spreadsheets/d/1QqKyyYR6Q21VydFLVH3TRQUabQu_ym0Zz7PgGX0-kHA/edit?usp=sharing"",""แผน!FN39"")"),100)</f>
        <v>100</v>
      </c>
      <c r="J460" s="992">
        <v>80</v>
      </c>
      <c r="K460" s="864">
        <f ca="1">IF(I460&gt;0,J460*100/I460,0)</f>
        <v>80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IFERROR(__xludf.DUMMYFUNCTION("IMPORTRANGE(""https://docs.google.com/spreadsheets/d/1QqKyyYR6Q21VydFLVH3TRQUabQu_ym0Zz7PgGX0-kHA/edit?usp=sharing"",""แผน!FO39"")"),240)</f>
        <v>240</v>
      </c>
      <c r="J462" s="992">
        <v>200</v>
      </c>
      <c r="K462" s="864">
        <f ca="1">IF(I462&gt;0,J462*100/I462,0)</f>
        <v>83.333333333333329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IFERROR(__xludf.DUMMYFUNCTION("IMPORTRANGE(""https://docs.google.com/spreadsheets/d/1QqKyyYR6Q21VydFLVH3TRQUabQu_ym0Zz7PgGX0-kHA/edit?usp=sharing"",""แผน!FO39"")"),240)</f>
        <v>240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IFERROR(__xludf.DUMMYFUNCTION("IMPORTRANGE(""https://docs.google.com/spreadsheets/d/1QqKyyYR6Q21VydFLVH3TRQUabQu_ym0Zz7PgGX0-kHA/edit?usp=sharing"",""แผน!FN39"")"),100)</f>
        <v>100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IFERROR(__xludf.DUMMYFUNCTION("IMPORTRANGE(""https://docs.google.com/spreadsheets/d/1QqKyyYR6Q21VydFLVH3TRQUabQu_ym0Zz7PgGX0-kHA/edit?usp=sharing"",""แผน!FX39"")"),131)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IFERROR(__xludf.DUMMYFUNCTION("IMPORTRANGE(""https://docs.google.com/spreadsheets/d/1QqKyyYR6Q21VydFLVH3TRQUabQu_ym0Zz7PgGX0-kHA/edit?usp=sharing"",""แผน!FW39"")"),1300)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1170118</v>
      </c>
      <c r="M467" s="1000">
        <f t="shared" si="206"/>
        <v>0</v>
      </c>
      <c r="N467" s="1000">
        <f t="shared" si="206"/>
        <v>137309</v>
      </c>
      <c r="O467" s="1000">
        <f t="shared" ref="O467:O472" ca="1" si="207">IF(L467&gt;0,N467*100/L467,0)</f>
        <v>11.734628473367643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1170118</v>
      </c>
      <c r="M469" s="870">
        <f t="shared" si="209"/>
        <v>0</v>
      </c>
      <c r="N469" s="870">
        <f t="shared" si="209"/>
        <v>137309</v>
      </c>
      <c r="O469" s="870">
        <f t="shared" ca="1" si="207"/>
        <v>11.734628473367643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1170118</v>
      </c>
      <c r="M470" s="864">
        <f t="shared" si="210"/>
        <v>0</v>
      </c>
      <c r="N470" s="864">
        <f t="shared" si="210"/>
        <v>137309</v>
      </c>
      <c r="O470" s="864">
        <f t="shared" ca="1" si="207"/>
        <v>11.734628473367643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IFERROR(__xludf.DUMMYFUNCTION("IMPORTRANGE(""https://docs.google.com/spreadsheets/d/1QqKyyYR6Q21VydFLVH3TRQUabQu_ym0Zz7PgGX0-kHA/edit?usp=sharing"",""แผน!FS39"")"),1170118)</f>
        <v>1170118</v>
      </c>
      <c r="M472" s="870">
        <v>0</v>
      </c>
      <c r="N472" s="870">
        <f>N473+N474+N475+N476</f>
        <v>137309</v>
      </c>
      <c r="O472" s="870">
        <f t="shared" ca="1" si="207"/>
        <v>11.734628473367643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75859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8650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52000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800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IFERROR(__xludf.DUMMYFUNCTION("IMPORTRANGE(""https://docs.google.com/spreadsheets/d/1QqKyyYR6Q21VydFLVH3TRQUabQu_ym0Zz7PgGX0-kHA/edit?usp=sharing"",""แผน!FV39"")"),0)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IFERROR(__xludf.DUMMYFUNCTION("IMPORTRANGE(""https://docs.google.com/spreadsheets/d/1QqKyyYR6Q21VydFLVH3TRQUabQu_ym0Zz7PgGX0-kHA/edit?usp=sharing"",""แผน!FY39"")"),1170)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256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IFERROR(__xludf.DUMMYFUNCTION("IMPORTRANGE(""https://docs.google.com/spreadsheets/d/1QqKyyYR6Q21VydFLVH3TRQUabQu_ym0Zz7PgGX0-kHA/edit?usp=sharing"",""แผน!FZ39"")"),117)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IFERROR(__xludf.DUMMYFUNCTION("IMPORTRANGE(""https://docs.google.com/spreadsheets/d/1QqKyyYR6Q21VydFLVH3TRQUabQu_ym0Zz7PgGX0-kHA/edit?usp=sharing"",""แผน!GA39"")"),130)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14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IFERROR(__xludf.DUMMYFUNCTION("IMPORTRANGE(""https://docs.google.com/spreadsheets/d/1QqKyyYR6Q21VydFLVH3TRQUabQu_ym0Zz7PgGX0-kHA/edit?usp=sharing"",""แผน!GB39"")"),13)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1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IFERROR(__xludf.DUMMYFUNCTION("IMPORTRANGE(""https://docs.google.com/spreadsheets/d/1QqKyyYR6Q21VydFLVH3TRQUabQu_ym0Zz7PgGX0-kHA/edit?usp=sharing"",""แผน!GC39"")"),1)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IFERROR(__xludf.DUMMYFUNCTION("IMPORTRANGE(""https://docs.google.com/spreadsheets/d/1QqKyyYR6Q21VydFLVH3TRQUabQu_ym0Zz7PgGX0-kHA/edit?usp=sharing"",""แผน!FY39"")"),1170)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IFERROR(__xludf.DUMMYFUNCTION("IMPORTRANGE(""https://docs.google.com/spreadsheets/d/1QqKyyYR6Q21VydFLVH3TRQUabQu_ym0Zz7PgGX0-kHA/edit?usp=sharing"",""แผน!GA39"")"),130)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IFERROR(__xludf.DUMMYFUNCTION("IMPORTRANGE(""https://docs.google.com/spreadsheets/d/1QqKyyYR6Q21VydFLVH3TRQUabQu_ym0Zz7PgGX0-kHA/edit?usp=sharing"",""แผน!GQ39"")"),0)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IFERROR(__xludf.DUMMYFUNCTION("IMPORTRANGE(""https://docs.google.com/spreadsheets/d/1QqKyyYR6Q21VydFLVH3TRQUabQu_ym0Zz7PgGX0-kHA/edit?usp=sharing"",""แผน!GT39"")"),0)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IFERROR(__xludf.DUMMYFUNCTION("IMPORTRANGE(""https://docs.google.com/spreadsheets/d/1QqKyyYR6Q21VydFLVH3TRQUabQu_ym0Zz7PgGX0-kHA/edit?usp=sharing"",""แผน!GU39"")"),0)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IFERROR(__xludf.DUMMYFUNCTION("IMPORTRANGE(""https://docs.google.com/spreadsheets/d/1QqKyyYR6Q21VydFLVH3TRQUabQu_ym0Zz7PgGX0-kHA/edit?usp=sharing"",""แผน!GV39"")"),0)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IFERROR(__xludf.DUMMYFUNCTION("IMPORTRANGE(""https://docs.google.com/spreadsheets/d/1QqKyyYR6Q21VydFLVH3TRQUabQu_ym0Zz7PgGX0-kHA/edit?usp=sharing"",""แผน!GW39"")"),0)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IFERROR(__xludf.DUMMYFUNCTION("IMPORTRANGE(""https://docs.google.com/spreadsheets/d/1QqKyyYR6Q21VydFLVH3TRQUabQu_ym0Zz7PgGX0-kHA/edit?usp=sharing"",""แผน!GX39"")"),0)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IFERROR(__xludf.DUMMYFUNCTION("IMPORTRANGE(""https://docs.google.com/spreadsheets/d/1QqKyyYR6Q21VydFLVH3TRQUabQu_ym0Zz7PgGX0-kHA/edit?usp=sharing"",""แผน!GY39"")"),0)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IFERROR(__xludf.DUMMYFUNCTION("IMPORTRANGE(""https://docs.google.com/spreadsheets/d/1QqKyyYR6Q21VydFLVH3TRQUabQu_ym0Zz7PgGX0-kHA/edit?usp=sharing"",""แผน!GZ39"")"),0)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36261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372469</v>
      </c>
      <c r="M544" s="972">
        <f t="shared" si="236"/>
        <v>0</v>
      </c>
      <c r="N544" s="972">
        <f t="shared" si="236"/>
        <v>173862.39999999999</v>
      </c>
      <c r="O544" s="972">
        <f t="shared" ref="O544:O549" ca="1" si="237">IF(L544&gt;0,N544*100/L544,0)</f>
        <v>46.678354440235296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372469</v>
      </c>
      <c r="M546" s="870">
        <f t="shared" si="240"/>
        <v>0</v>
      </c>
      <c r="N546" s="870">
        <f t="shared" si="240"/>
        <v>173862.39999999999</v>
      </c>
      <c r="O546" s="870">
        <f t="shared" ca="1" si="237"/>
        <v>46.678354440235296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372469</v>
      </c>
      <c r="M547" s="864">
        <f t="shared" si="241"/>
        <v>0</v>
      </c>
      <c r="N547" s="864">
        <f t="shared" si="241"/>
        <v>173862.39999999999</v>
      </c>
      <c r="O547" s="864">
        <f t="shared" ca="1" si="237"/>
        <v>46.678354440235296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IFERROR(__xludf.DUMMYFUNCTION("IMPORTRANGE(""https://docs.google.com/spreadsheets/d/1QqKyyYR6Q21VydFLVH3TRQUabQu_ym0Zz7PgGX0-kHA/edit?usp=sharing"",""แผน!HB39"")"),372469)</f>
        <v>372469</v>
      </c>
      <c r="M549" s="870">
        <v>0</v>
      </c>
      <c r="N549" s="870">
        <f>N550+N551+N552+N553+N554</f>
        <v>173862.39999999999</v>
      </c>
      <c r="O549" s="870">
        <f t="shared" ca="1" si="237"/>
        <v>46.678354440235296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121862.39999999999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/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IFERROR(__xludf.DUMMYFUNCTION("IMPORTRANGE(""https://docs.google.com/spreadsheets/d/1QqKyyYR6Q21VydFLVH3TRQUabQu_ym0Zz7PgGX0-kHA/edit?usp=sharing"",""แผน!HF39"")"),0)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36261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IFERROR(__xludf.DUMMYFUNCTION("IMPORTRANGE(""https://docs.google.com/spreadsheets/d/1QqKyyYR6Q21VydFLVH3TRQUabQu_ym0Zz7PgGX0-kHA/edit?usp=sharing"",""แผน!HH39"")"),36261)</f>
        <v>36261</v>
      </c>
      <c r="J560" s="998">
        <f t="shared" ref="J560:J561" si="247">J562+J564+J566</f>
        <v>35733.339999999997</v>
      </c>
      <c r="K560" s="1142">
        <f t="shared" ca="1" si="246"/>
        <v>98.544827776398876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IFERROR(__xludf.DUMMYFUNCTION("IMPORTRANGE(""https://docs.google.com/spreadsheets/d/1QqKyyYR6Q21VydFLVH3TRQUabQu_ym0Zz7PgGX0-kHA/edit?usp=sharing"",""แผน!HG39"")"),3669)</f>
        <v>3669</v>
      </c>
      <c r="J561" s="998">
        <f t="shared" si="247"/>
        <v>3614</v>
      </c>
      <c r="K561" s="1142">
        <f t="shared" ca="1" si="246"/>
        <v>98.50095393840283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26134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2705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8313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796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1286.3399999999999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113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IFERROR(__xludf.DUMMYFUNCTION("IMPORTRANGE(""https://docs.google.com/spreadsheets/d/1QqKyyYR6Q21VydFLVH3TRQUabQu_ym0Zz7PgGX0-kHA/edit?usp=sharing"",""แผน!HH39"")"),36261)</f>
        <v>36261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IFERROR(__xludf.DUMMYFUNCTION("IMPORTRANGE(""https://docs.google.com/spreadsheets/d/1QqKyyYR6Q21VydFLVH3TRQUabQu_ym0Zz7PgGX0-kHA/edit?usp=sharing"",""แผน!HG39"")"),3669)</f>
        <v>3669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IFERROR(__xludf.DUMMYFUNCTION("IMPORTRANGE(""https://docs.google.com/spreadsheets/d/1QqKyyYR6Q21VydFLVH3TRQUabQu_ym0Zz7PgGX0-kHA/edit?usp=sharing"",""แผน!HH39"")"),36261)</f>
        <v>36261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IFERROR(__xludf.DUMMYFUNCTION("IMPORTRANGE(""https://docs.google.com/spreadsheets/d/1QqKyyYR6Q21VydFLVH3TRQUabQu_ym0Zz7PgGX0-kHA/edit?usp=sharing"",""แผน!HG39"")"),3669)</f>
        <v>3669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598.48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IFERROR(__xludf.DUMMYFUNCTION("IMPORTRANGE(""https://docs.google.com/spreadsheets/d/1QqKyyYR6Q21VydFLVH3TRQUabQu_ym0Zz7PgGX0-kHA/edit?usp=sharing"",""แผน!HJ39"")"),598.48)</f>
        <v>598.48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IFERROR(__xludf.DUMMYFUNCTION("IMPORTRANGE(""https://docs.google.com/spreadsheets/d/1QqKyyYR6Q21VydFLVH3TRQUabQu_ym0Zz7PgGX0-kHA/edit?usp=sharing"",""แผน!HI39"")"),75)</f>
        <v>75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 hidden="1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 hidden="1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IFERROR(__xludf.DUMMYFUNCTION("IMPORTRANGE(""https://docs.google.com/spreadsheets/d/1QqKyyYR6Q21VydFLVH3TRQUabQu_ym0Zz7PgGX0-kHA/edit?usp=sharing"",""แผน!HL39"")"),0)</f>
        <v>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 hidden="1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IFERROR(__xludf.DUMMYFUNCTION("IMPORTRANGE(""https://docs.google.com/spreadsheets/d/1QqKyyYR6Q21VydFLVH3TRQUabQu_ym0Zz7PgGX0-kHA/edit?usp=sharing"",""แผน!HK39"")"),0)</f>
        <v>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 hidden="1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 hidden="1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 hidden="1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 hidden="1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 hidden="1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 hidden="1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13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177295</v>
      </c>
      <c r="M629" s="1000">
        <f t="shared" si="263"/>
        <v>0</v>
      </c>
      <c r="N629" s="1000">
        <f t="shared" si="263"/>
        <v>43198</v>
      </c>
      <c r="O629" s="1000">
        <f t="shared" ref="O629:O634" ca="1" si="264">IF(L629&gt;0,N629*100/L629,0)</f>
        <v>24.365041315321921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177295</v>
      </c>
      <c r="M631" s="870">
        <f t="shared" si="266"/>
        <v>0</v>
      </c>
      <c r="N631" s="870">
        <f t="shared" si="266"/>
        <v>43198</v>
      </c>
      <c r="O631" s="870">
        <f t="shared" ca="1" si="264"/>
        <v>24.365041315321921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177295</v>
      </c>
      <c r="M632" s="864">
        <f t="shared" si="267"/>
        <v>0</v>
      </c>
      <c r="N632" s="864">
        <f t="shared" si="267"/>
        <v>43198</v>
      </c>
      <c r="O632" s="864">
        <f t="shared" ca="1" si="264"/>
        <v>24.365041315321921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IFERROR(__xludf.DUMMYFUNCTION("IMPORTRANGE(""https://docs.google.com/spreadsheets/d/1QqKyyYR6Q21VydFLVH3TRQUabQu_ym0Zz7PgGX0-kHA/edit?usp=sharing"",""แผน!HN39"")"),177295)</f>
        <v>177295</v>
      </c>
      <c r="M634" s="870">
        <v>0</v>
      </c>
      <c r="N634" s="870">
        <f>N635+N636+N637+N638</f>
        <v>43198</v>
      </c>
      <c r="O634" s="870">
        <f t="shared" ca="1" si="264"/>
        <v>24.365041315321921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43198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IFERROR(__xludf.DUMMYFUNCTION("IMPORTRANGE(""https://docs.google.com/spreadsheets/d/1QqKyyYR6Q21VydFLVH3TRQUabQu_ym0Zz7PgGX0-kHA/edit?usp=sharing"",""แผน!HQ39"")"),0)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IFERROR(__xludf.DUMMYFUNCTION("IMPORTRANGE(""https://docs.google.com/spreadsheets/d/1QqKyyYR6Q21VydFLVH3TRQUabQu_ym0Zz7PgGX0-kHA/edit?usp=sharing"",""แผน!HR39"")"),0)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IFERROR(__xludf.DUMMYFUNCTION("IMPORTRANGE(""https://docs.google.com/spreadsheets/d/1QqKyyYR6Q21VydFLVH3TRQUabQu_ym0Zz7PgGX0-kHA/edit?usp=sharing"",""แผน!HR39"")"),0)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IFERROR(__xludf.DUMMYFUNCTION("IMPORTRANGE(""https://docs.google.com/spreadsheets/d/1XWAQStnk-4SwqDmLtmXYiTMKHgktTP8We1SCoS47DrQ/edit?usp=sharing"",""จัดที่ดิน!AS39"")"),7)</f>
        <v>7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IFERROR(__xludf.DUMMYFUNCTION("IMPORTRANGE(""https://docs.google.com/spreadsheets/d/1QqKyyYR6Q21VydFLVH3TRQUabQu_ym0Zz7PgGX0-kHA/edit?usp=sharing"",""แผน!HS39"")"),13)</f>
        <v>13</v>
      </c>
      <c r="J647" s="863">
        <f ca="1">IFERROR(__xludf.DUMMYFUNCTION("IMPORTRANGE(""https://docs.google.com/spreadsheets/d/1XWAQStnk-4SwqDmLtmXYiTMKHgktTP8We1SCoS47DrQ/edit?usp=sharing"",""จัดที่ดิน!AU39"")"),7)</f>
        <v>7</v>
      </c>
      <c r="K647" s="978">
        <f t="shared" ca="1" si="271"/>
        <v>53.846153846153847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IFERROR(__xludf.DUMMYFUNCTION("IMPORTRANGE(""https://docs.google.com/spreadsheets/d/1QqKyyYR6Q21VydFLVH3TRQUabQu_ym0Zz7PgGX0-kHA/edit?usp=sharing"",""แผน!HS39"")"),13)</f>
        <v>13</v>
      </c>
      <c r="J649" s="863">
        <f ca="1">IFERROR(__xludf.DUMMYFUNCTION("IMPORTRANGE(""https://docs.google.com/spreadsheets/d/1XWAQStnk-4SwqDmLtmXYiTMKHgktTP8We1SCoS47DrQ/edit?usp=sharing"",""จัดที่ดิน!AW39"")"),7)</f>
        <v>7</v>
      </c>
      <c r="K649" s="978">
        <f t="shared" ca="1" si="271"/>
        <v>53.846153846153847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IFERROR(__xludf.DUMMYFUNCTION("IMPORTRANGE(""https://docs.google.com/spreadsheets/d/1QqKyyYR6Q21VydFLVH3TRQUabQu_ym0Zz7PgGX0-kHA/edit?usp=sharing"",""แผน!HS39"")"),13)</f>
        <v>13</v>
      </c>
      <c r="J651" s="863">
        <f ca="1">IFERROR(__xludf.DUMMYFUNCTION("IMPORTRANGE(""https://docs.google.com/spreadsheets/d/1XWAQStnk-4SwqDmLtmXYiTMKHgktTP8We1SCoS47DrQ/edit?usp=sharing"",""จัดที่ดิน!AY39"")"),0)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IFERROR(__xludf.DUMMYFUNCTION("IMPORTRANGE(""https://docs.google.com/spreadsheets/d/1XWAQStnk-4SwqDmLtmXYiTMKHgktTP8We1SCoS47DrQ/edit?usp=sharing"",""จัดที่ดิน!AZ39"")"),0)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 hidden="1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IFERROR(__xludf.DUMMYFUNCTION("IMPORTRANGE(""https://docs.google.com/spreadsheets/d/1QqKyyYR6Q21VydFLVH3TRQUabQu_ym0Zz7PgGX0-kHA/edit?usp=sharing"",""แผน!HV39"")"),0)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IFERROR(__xludf.DUMMYFUNCTION("IMPORTRANGE(""https://docs.google.com/spreadsheets/d/1QqKyyYR6Q21VydFLVH3TRQUabQu_ym0Zz7PgGX0-kHA/edit?usp=sharing"",""แผน!IA39"")"),0)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IFERROR(__xludf.DUMMYFUNCTION("IMPORTRANGE(""https://docs.google.com/spreadsheets/d/1QqKyyYR6Q21VydFLVH3TRQUabQu_ym0Zz7PgGX0-kHA/edit?usp=sharing"",""แผน!HZ39"")"),0)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IFERROR(__xludf.DUMMYFUNCTION("IMPORTRANGE(""https://docs.google.com/spreadsheets/d/1QqKyyYR6Q21VydFLVH3TRQUabQu_ym0Zz7PgGX0-kHA/edit?usp=sharing"",""แผน!HZ39"")"),0)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IFERROR(__xludf.DUMMYFUNCTION("IMPORTRANGE(""https://docs.google.com/spreadsheets/d/1QqKyyYR6Q21VydFLVH3TRQUabQu_ym0Zz7PgGX0-kHA/edit?usp=sharing"",""แผน!IB39"")"),0)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 hidden="1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 hidden="1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 hidden="1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IFERROR(__xludf.DUMMYFUNCTION("IMPORTRANGE(""https://docs.google.com/spreadsheets/d/1QqKyyYR6Q21VydFLVH3TRQUabQu_ym0Zz7PgGX0-kHA/edit?usp=sharing"",""แผน!HW39"")"),0)</f>
        <v>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 hidden="1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 hidden="1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 hidden="1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 hidden="1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 hidden="1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 hidden="1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 hidden="1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IFERROR(__xludf.DUMMYFUNCTION("IMPORTRANGE(""https://docs.google.com/spreadsheets/d/1QqKyyYR6Q21VydFLVH3TRQUabQu_ym0Zz7PgGX0-kHA/edit?usp=sharing"",""แผน!IC39"")"),0)</f>
        <v>0</v>
      </c>
      <c r="J699" s="863">
        <f ca="1">IFERROR(__xludf.DUMMYFUNCTION("IMPORTRANGE(""https://docs.google.com/spreadsheets/d/1XWAQStnk-4SwqDmLtmXYiTMKHgktTP8We1SCoS47DrQ/edit?usp=sharing"",""จัดที่ดิน!BB39"")"),0)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 hidden="1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IFERROR(__xludf.DUMMYFUNCTION("IMPORTRANGE(""https://docs.google.com/spreadsheets/d/1QqKyyYR6Q21VydFLVH3TRQUabQu_ym0Zz7PgGX0-kHA/edit?usp=sharing"",""แผน!ID39"")"),0)</f>
        <v>0</v>
      </c>
      <c r="J700" s="863">
        <f ca="1">IFERROR(__xludf.DUMMYFUNCTION("IMPORTRANGE(""https://docs.google.com/spreadsheets/d/1XWAQStnk-4SwqDmLtmXYiTMKHgktTP8We1SCoS47DrQ/edit?usp=sharing"",""จัดที่ดิน!BD39"")"),0)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IFERROR(__xludf.DUMMYFUNCTION("IMPORTRANGE(""https://docs.google.com/spreadsheets/d/1QqKyyYR6Q21VydFLVH3TRQUabQu_ym0Zz7PgGX0-kHA/edit?usp=sharing"",""แผน!IE39"")"),0)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IFERROR(__xludf.DUMMYFUNCTION("IMPORTRANGE(""https://docs.google.com/spreadsheets/d/1QqKyyYR6Q21VydFLVH3TRQUabQu_ym0Zz7PgGX0-kHA/edit?usp=sharing"",""แผน!IF39"")"),0)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IFERROR(__xludf.DUMMYFUNCTION("IMPORTRANGE(""https://docs.google.com/spreadsheets/d/1QqKyyYR6Q21VydFLVH3TRQUabQu_ym0Zz7PgGX0-kHA/edit?usp=sharing"",""แผน!IG39"")"),0)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IFERROR(__xludf.DUMMYFUNCTION("IMPORTRANGE(""https://docs.google.com/spreadsheets/d/1QqKyyYR6Q21VydFLVH3TRQUabQu_ym0Zz7PgGX0-kHA/edit?usp=sharing"",""แผน!IH39"")"),0)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IFERROR(__xludf.DUMMYFUNCTION("IMPORTRANGE(""https://docs.google.com/spreadsheets/d/1XWAQStnk-4SwqDmLtmXYiTMKHgktTP8We1SCoS47DrQ/edit?usp=sharing"",""จัดที่ดิน!BF39"")"),0)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IFERROR(__xludf.DUMMYFUNCTION("IMPORTRANGE(""https://docs.google.com/spreadsheets/d/1XWAQStnk-4SwqDmLtmXYiTMKHgktTP8We1SCoS47DrQ/edit?usp=sharing"",""จัดที่ดิน!BG39"")"),0)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IFERROR(__xludf.DUMMYFUNCTION("IMPORTRANGE(""https://docs.google.com/spreadsheets/d/1QqKyyYR6Q21VydFLVH3TRQUabQu_ym0Zz7PgGX0-kHA/edit?usp=sharing"",""แผน!II39"")"),0)</f>
        <v>0</v>
      </c>
      <c r="J720" s="863">
        <f ca="1">IFERROR(__xludf.DUMMYFUNCTION("IMPORTRANGE(""https://docs.google.com/spreadsheets/d/1XWAQStnk-4SwqDmLtmXYiTMKHgktTP8We1SCoS47DrQ/edit?usp=sharing"",""จัดที่ดิน!BH39"")"),0)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IFERROR(__xludf.DUMMYFUNCTION("IMPORTRANGE(""https://docs.google.com/spreadsheets/d/1QqKyyYR6Q21VydFLVH3TRQUabQu_ym0Zz7PgGX0-kHA/edit?usp=sharing"",""แผน!IJ39"")"),0)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IFERROR(__xludf.DUMMYFUNCTION("IMPORTRANGE(""https://docs.google.com/spreadsheets/d/1QqKyyYR6Q21VydFLVH3TRQUabQu_ym0Zz7PgGX0-kHA/edit?usp=sharing"",""แผน!IK39"")"),0)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IFERROR(__xludf.DUMMYFUNCTION("IMPORTRANGE(""https://docs.google.com/spreadsheets/d/1QqKyyYR6Q21VydFLVH3TRQUabQu_ym0Zz7PgGX0-kHA/edit?usp=sharing"",""แผน!IL39"")"),0)</f>
        <v>0</v>
      </c>
      <c r="J723" s="863">
        <f ca="1">IFERROR(__xludf.DUMMYFUNCTION("IMPORTRANGE(""https://docs.google.com/spreadsheets/d/1XWAQStnk-4SwqDmLtmXYiTMKHgktTP8We1SCoS47DrQ/edit?usp=sharing"",""จัดที่ดิน!BM39"")"),0)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IFERROR(__xludf.DUMMYFUNCTION("IMPORTRANGE(""https://docs.google.com/spreadsheets/d/1XWAQStnk-4SwqDmLtmXYiTMKHgktTP8We1SCoS47DrQ/edit?usp=sharing"",""จัดที่ดิน!BN39"")"),0)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IFERROR(__xludf.DUMMYFUNCTION("IMPORTRANGE(""https://docs.google.com/spreadsheets/d/1QqKyyYR6Q21VydFLVH3TRQUabQu_ym0Zz7PgGX0-kHA/edit?usp=sharing"",""แผน!IM39"")"),0)</f>
        <v>0</v>
      </c>
      <c r="J725" s="863">
        <f ca="1">IFERROR(__xludf.DUMMYFUNCTION("IMPORTRANGE(""https://docs.google.com/spreadsheets/d/1XWAQStnk-4SwqDmLtmXYiTMKHgktTP8We1SCoS47DrQ/edit?usp=sharing"",""จัดที่ดิน!BO39"")"),0)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IFERROR(__xludf.DUMMYFUNCTION("IMPORTRANGE(""https://docs.google.com/spreadsheets/d/1QqKyyYR6Q21VydFLVH3TRQUabQu_ym0Zz7PgGX0-kHA/edit?usp=sharing"",""แผน!IN39"")"),0)</f>
        <v>0</v>
      </c>
      <c r="J726" s="863">
        <f ca="1">IFERROR(__xludf.DUMMYFUNCTION("IMPORTRANGE(""https://docs.google.com/spreadsheets/d/1XWAQStnk-4SwqDmLtmXYiTMKHgktTP8We1SCoS47DrQ/edit?usp=sharing"",""จัดที่ดิน!BR39"")"),0)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IFERROR(__xludf.DUMMYFUNCTION("IMPORTRANGE(""https://docs.google.com/spreadsheets/d/1XWAQStnk-4SwqDmLtmXYiTMKHgktTP8We1SCoS47DrQ/edit?usp=sharing"",""จัดที่ดิน!BS39"")"),0)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IFERROR(__xludf.DUMMYFUNCTION("IMPORTRANGE(""https://docs.google.com/spreadsheets/d/1QqKyyYR6Q21VydFLVH3TRQUabQu_ym0Zz7PgGX0-kHA/edit?usp=sharing"",""แผน!IO39"")"),0)</f>
        <v>0</v>
      </c>
      <c r="J728" s="863">
        <f ca="1">IFERROR(__xludf.DUMMYFUNCTION("IMPORTRANGE(""https://docs.google.com/spreadsheets/d/1XWAQStnk-4SwqDmLtmXYiTMKHgktTP8We1SCoS47DrQ/edit?usp=sharing"",""จัดที่ดิน!BT39"")"),0)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IFERROR(__xludf.DUMMYFUNCTION("IMPORTRANGE(""https://docs.google.com/spreadsheets/d/1QqKyyYR6Q21VydFLVH3TRQUabQu_ym0Zz7PgGX0-kHA/edit?usp=sharing"",""แผน!IP39"")"),0)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IFERROR(__xludf.DUMMYFUNCTION("IMPORTRANGE(""https://docs.google.com/spreadsheets/d/1QqKyyYR6Q21VydFLVH3TRQUabQu_ym0Zz7PgGX0-kHA/edit?usp=sharing"",""แผน!JJ39"")"),0)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IFERROR(__xludf.DUMMYFUNCTION("IMPORTRANGE(""https://docs.google.com/spreadsheets/d/1QqKyyYR6Q21VydFLVH3TRQUabQu_ym0Zz7PgGX0-kHA/edit?usp=sharing"",""แผน!JN39"")"),0)</f>
        <v>0</v>
      </c>
      <c r="J800" s="977">
        <f ca="1">IFERROR(__xludf.DUMMYFUNCTION("IMPORTRANGE(""https://docs.google.com/spreadsheets/d/1MaWodYyGHDf7siQLGxnXhG4mBNTNIuy296niS2xXulU/edit?usp=sharing"",""RTK!H39"")"),0)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IFERROR(__xludf.DUMMYFUNCTION("IMPORTRANGE(""https://docs.google.com/spreadsheets/d/1MaWodYyGHDf7siQLGxnXhG4mBNTNIuy296niS2xXulU/edit?usp=sharing"",""RTK!I39"")"),0)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863">
        <f ca="1">IFERROR(__xludf.DUMMYFUNCTION("IMPORTRANGE(""https://docs.google.com/spreadsheets/d/19vJNZY_5yjcGF2XGBMNZRCAIB0Kwfpjp8YEOfu-bneM/edit?usp=sharing"",""งานกองทุน!F39"")"),4897471.55)</f>
        <v>4897471.55</v>
      </c>
      <c r="K821" s="864">
        <f t="shared" ref="K821:K828" ca="1" si="335">IF(I821&gt;0,J821*100/I821,0)</f>
        <v>32.6135465916377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IFERROR(__xludf.DUMMYFUNCTION("IMPORTRANGE(""https://docs.google.com/spreadsheets/d/19vJNZY_5yjcGF2XGBMNZRCAIB0Kwfpjp8YEOfu-bneM/edit?usp=sharing"",""งานกองทุน!C39"")"),1508)</f>
        <v>1508</v>
      </c>
      <c r="J822" s="863">
        <f ca="1">IFERROR(__xludf.DUMMYFUNCTION("IMPORTRANGE(""https://docs.google.com/spreadsheets/d/19vJNZY_5yjcGF2XGBMNZRCAIB0Kwfpjp8YEOfu-bneM/edit?usp=sharing"",""งานกองทุน!E39"")"),445)</f>
        <v>445</v>
      </c>
      <c r="K822" s="864">
        <f t="shared" ca="1" si="335"/>
        <v>29.509283819628646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863">
        <f ca="1">IFERROR(__xludf.DUMMYFUNCTION("IMPORTRANGE(""https://docs.google.com/spreadsheets/d/19vJNZY_5yjcGF2XGBMNZRCAIB0Kwfpjp8YEOfu-bneM/edit?usp=sharing"",""งานกองทุน!K39"")"),1203441.46)</f>
        <v>1203441.46</v>
      </c>
      <c r="K823" s="864">
        <f t="shared" ca="1" si="335"/>
        <v>15.147642124228069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IFERROR(__xludf.DUMMYFUNCTION("IMPORTRANGE(""https://docs.google.com/spreadsheets/d/19vJNZY_5yjcGF2XGBMNZRCAIB0Kwfpjp8YEOfu-bneM/edit?usp=sharing"",""งานกองทุน!H39"")"),355)</f>
        <v>355</v>
      </c>
      <c r="J824" s="863">
        <f ca="1">IFERROR(__xludf.DUMMYFUNCTION("IMPORTRANGE(""https://docs.google.com/spreadsheets/d/19vJNZY_5yjcGF2XGBMNZRCAIB0Kwfpjp8YEOfu-bneM/edit?usp=sharing"",""งานกองทุน!J39"")"),119)</f>
        <v>119</v>
      </c>
      <c r="K824" s="864">
        <f t="shared" ca="1" si="335"/>
        <v>33.521126760563384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IFERROR(__xludf.DUMMYFUNCTION("IMPORTRANGE(""https://docs.google.com/spreadsheets/d/19vJNZY_5yjcGF2XGBMNZRCAIB0Kwfpjp8YEOfu-bneM/edit?usp=sharing"",""งานกองทุน!N39"")"),0)</f>
        <v>0</v>
      </c>
      <c r="J825" s="863">
        <f ca="1">IFERROR(__xludf.DUMMYFUNCTION("IMPORTRANGE(""https://docs.google.com/spreadsheets/d/19vJNZY_5yjcGF2XGBMNZRCAIB0Kwfpjp8YEOfu-bneM/edit?usp=sharing"",""งานกองทุน!P39"")"),0)</f>
        <v>0</v>
      </c>
      <c r="K825" s="864">
        <f t="shared" ca="1" si="335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IFERROR(__xludf.DUMMYFUNCTION("IMPORTRANGE(""https://docs.google.com/spreadsheets/d/19vJNZY_5yjcGF2XGBMNZRCAIB0Kwfpjp8YEOfu-bneM/edit?usp=sharing"",""งานกองทุน!M39"")"),0)</f>
        <v>0</v>
      </c>
      <c r="J826" s="863">
        <f ca="1">IFERROR(__xludf.DUMMYFUNCTION("IMPORTRANGE(""https://docs.google.com/spreadsheets/d/19vJNZY_5yjcGF2XGBMNZRCAIB0Kwfpjp8YEOfu-bneM/edit?usp=sharing"",""งานกองทุน!O39"")"),0)</f>
        <v>0</v>
      </c>
      <c r="K826" s="864">
        <f t="shared" ca="1" si="335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IFERROR(__xludf.DUMMYFUNCTION("IMPORTRANGE(""https://docs.google.com/spreadsheets/d/19vJNZY_5yjcGF2XGBMNZRCAIB0Kwfpjp8YEOfu-bneM/edit?usp=sharing"",""งานกองทุน!S39"")"),15000000)</f>
        <v>15000000</v>
      </c>
      <c r="J827" s="863">
        <f ca="1">IFERROR(__xludf.DUMMYFUNCTION("IMPORTRANGE(""https://docs.google.com/spreadsheets/d/19vJNZY_5yjcGF2XGBMNZRCAIB0Kwfpjp8YEOfu-bneM/edit?usp=sharing"",""งานกองทุน!U39"")"),2880000)</f>
        <v>2880000</v>
      </c>
      <c r="K827" s="864">
        <f t="shared" ca="1" si="335"/>
        <v>19.2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IFERROR(__xludf.DUMMYFUNCTION("IMPORTRANGE(""https://docs.google.com/spreadsheets/d/19vJNZY_5yjcGF2XGBMNZRCAIB0Kwfpjp8YEOfu-bneM/edit?usp=sharing"",""งานกองทุน!R39"")"),410)</f>
        <v>410</v>
      </c>
      <c r="J828" s="1117">
        <f ca="1">IFERROR(__xludf.DUMMYFUNCTION("IMPORTRANGE(""https://docs.google.com/spreadsheets/d/19vJNZY_5yjcGF2XGBMNZRCAIB0Kwfpjp8YEOfu-bneM/edit?usp=sharing"",""งานกองทุน!T39"")"),84)</f>
        <v>84</v>
      </c>
      <c r="K828" s="1215">
        <f t="shared" ca="1" si="335"/>
        <v>20.487804878048781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AE39-DF4E-41E7-A521-426107D1882B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345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6650271</v>
      </c>
      <c r="M8" s="850">
        <f t="shared" ca="1" si="0"/>
        <v>3774508</v>
      </c>
      <c r="N8" s="850">
        <f t="shared" ca="1" si="0"/>
        <v>3583869.88</v>
      </c>
      <c r="O8" s="850">
        <f t="shared" ref="O8:O16" ca="1" si="1">IF(L8&gt;0,N8*100/L8,0)</f>
        <v>53.89058400777953</v>
      </c>
      <c r="P8" s="850">
        <f t="shared" ref="P8:P16" ca="1" si="2">IF(M8&gt;0,N8*100/M8,0)</f>
        <v>94.949325316041197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6650271</v>
      </c>
      <c r="M10" s="857">
        <f t="shared" ca="1" si="3"/>
        <v>3774508</v>
      </c>
      <c r="N10" s="857">
        <f t="shared" ca="1" si="3"/>
        <v>3583869.88</v>
      </c>
      <c r="O10" s="857">
        <f t="shared" ca="1" si="1"/>
        <v>53.89058400777953</v>
      </c>
      <c r="P10" s="857">
        <f t="shared" ca="1" si="2"/>
        <v>94.949325316041197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5545671</v>
      </c>
      <c r="M11" s="864">
        <f t="shared" ca="1" si="4"/>
        <v>2669908</v>
      </c>
      <c r="N11" s="864">
        <f t="shared" ca="1" si="4"/>
        <v>2589269.88</v>
      </c>
      <c r="O11" s="864">
        <f t="shared" ca="1" si="1"/>
        <v>46.689929496358509</v>
      </c>
      <c r="P11" s="864">
        <f t="shared" ca="1" si="2"/>
        <v>96.979741624055961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5545671</v>
      </c>
      <c r="M13" s="870">
        <f t="shared" ca="1" si="5"/>
        <v>2669908</v>
      </c>
      <c r="N13" s="870">
        <f t="shared" ca="1" si="5"/>
        <v>2589269.88</v>
      </c>
      <c r="O13" s="870">
        <f t="shared" ca="1" si="1"/>
        <v>46.689929496358509</v>
      </c>
      <c r="P13" s="870">
        <f t="shared" ca="1" si="2"/>
        <v>96.979741624055961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1104600</v>
      </c>
      <c r="M14" s="864">
        <f t="shared" ca="1" si="6"/>
        <v>1104600</v>
      </c>
      <c r="N14" s="864">
        <f t="shared" ca="1" si="6"/>
        <v>994600</v>
      </c>
      <c r="O14" s="864">
        <f t="shared" ca="1" si="1"/>
        <v>90.041644034039464</v>
      </c>
      <c r="P14" s="864">
        <f t="shared" ca="1" si="2"/>
        <v>90.041644034039464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1104600</v>
      </c>
      <c r="M16" s="876">
        <f t="shared" ca="1" si="7"/>
        <v>1104600</v>
      </c>
      <c r="N16" s="876">
        <f t="shared" ca="1" si="7"/>
        <v>994600</v>
      </c>
      <c r="O16" s="876">
        <f t="shared" ca="1" si="1"/>
        <v>90.041644034039464</v>
      </c>
      <c r="P16" s="876">
        <f t="shared" ca="1" si="2"/>
        <v>90.041644034039464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4267682</v>
      </c>
      <c r="M18" s="850">
        <f t="shared" ca="1" si="8"/>
        <v>3774508</v>
      </c>
      <c r="N18" s="850">
        <f t="shared" ca="1" si="8"/>
        <v>2767388.88</v>
      </c>
      <c r="O18" s="850">
        <f t="shared" ref="O18:O26" ca="1" si="9">IF(L18&gt;0,N18*100/L18,0)</f>
        <v>64.845245732929499</v>
      </c>
      <c r="P18" s="850">
        <f t="shared" ref="P18:P26" ca="1" si="10">IF(M18&gt;0,N18*100/M18,0)</f>
        <v>73.31787030256659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4267682</v>
      </c>
      <c r="M20" s="857">
        <f t="shared" ca="1" si="11"/>
        <v>3774508</v>
      </c>
      <c r="N20" s="857">
        <f t="shared" ca="1" si="11"/>
        <v>2767388.88</v>
      </c>
      <c r="O20" s="857">
        <f t="shared" ca="1" si="9"/>
        <v>64.845245732929499</v>
      </c>
      <c r="P20" s="857">
        <f t="shared" ca="1" si="10"/>
        <v>73.31787030256659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3163082</v>
      </c>
      <c r="M21" s="864">
        <f t="shared" ca="1" si="12"/>
        <v>2669908</v>
      </c>
      <c r="N21" s="864">
        <f t="shared" ca="1" si="12"/>
        <v>1772788.88</v>
      </c>
      <c r="O21" s="864">
        <f t="shared" ca="1" si="9"/>
        <v>56.046251093079469</v>
      </c>
      <c r="P21" s="864">
        <f t="shared" ca="1" si="10"/>
        <v>66.398875167234223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3163082</v>
      </c>
      <c r="M23" s="870">
        <f t="shared" ca="1" si="13"/>
        <v>2669908</v>
      </c>
      <c r="N23" s="870">
        <f t="shared" ca="1" si="13"/>
        <v>1772788.88</v>
      </c>
      <c r="O23" s="870">
        <f t="shared" ca="1" si="9"/>
        <v>56.046251093079469</v>
      </c>
      <c r="P23" s="870">
        <f t="shared" ca="1" si="10"/>
        <v>66.398875167234223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1104600</v>
      </c>
      <c r="M24" s="864">
        <f t="shared" ca="1" si="14"/>
        <v>1104600</v>
      </c>
      <c r="N24" s="864">
        <f t="shared" ca="1" si="14"/>
        <v>994600</v>
      </c>
      <c r="O24" s="864">
        <f t="shared" ca="1" si="9"/>
        <v>90.041644034039464</v>
      </c>
      <c r="P24" s="864">
        <f t="shared" ca="1" si="10"/>
        <v>90.041644034039464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1104600</v>
      </c>
      <c r="M26" s="876">
        <f t="shared" ca="1" si="15"/>
        <v>1104600</v>
      </c>
      <c r="N26" s="876">
        <f t="shared" ca="1" si="15"/>
        <v>994600</v>
      </c>
      <c r="O26" s="876">
        <f t="shared" ca="1" si="9"/>
        <v>90.041644034039464</v>
      </c>
      <c r="P26" s="876">
        <f t="shared" ca="1" si="10"/>
        <v>90.041644034039464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2382589</v>
      </c>
      <c r="M28" s="850">
        <f t="shared" si="16"/>
        <v>0</v>
      </c>
      <c r="N28" s="850">
        <f t="shared" si="16"/>
        <v>816481</v>
      </c>
      <c r="O28" s="850">
        <f t="shared" ref="O28:O37" ca="1" si="17">IF(L28&gt;0,N28*100/L28,0)</f>
        <v>34.268646417825316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2382589</v>
      </c>
      <c r="M30" s="857">
        <f t="shared" si="19"/>
        <v>0</v>
      </c>
      <c r="N30" s="857">
        <f t="shared" si="19"/>
        <v>816481</v>
      </c>
      <c r="O30" s="857">
        <f t="shared" ca="1" si="17"/>
        <v>34.268646417825316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2382589</v>
      </c>
      <c r="M31" s="864">
        <f t="shared" si="20"/>
        <v>0</v>
      </c>
      <c r="N31" s="864">
        <f t="shared" si="20"/>
        <v>816481</v>
      </c>
      <c r="O31" s="864">
        <f t="shared" ca="1" si="17"/>
        <v>34.268646417825316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2382589</v>
      </c>
      <c r="M33" s="870">
        <f t="shared" si="21"/>
        <v>0</v>
      </c>
      <c r="N33" s="870">
        <f t="shared" si="21"/>
        <v>816481</v>
      </c>
      <c r="O33" s="870">
        <f t="shared" ca="1" si="17"/>
        <v>34.268646417825316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4267682</v>
      </c>
      <c r="M37" s="883">
        <f t="shared" ca="1" si="24"/>
        <v>3774508</v>
      </c>
      <c r="N37" s="883">
        <f t="shared" ca="1" si="24"/>
        <v>2767388.88</v>
      </c>
      <c r="O37" s="883">
        <f t="shared" ca="1" si="17"/>
        <v>64.845245732929499</v>
      </c>
      <c r="P37" s="883">
        <f t="shared" ca="1" si="18"/>
        <v>73.31787030256659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439342</v>
      </c>
      <c r="M41" s="908">
        <f t="shared" ca="1" si="25"/>
        <v>441943</v>
      </c>
      <c r="N41" s="908">
        <f t="shared" ca="1" si="25"/>
        <v>226384</v>
      </c>
      <c r="O41" s="908">
        <f t="shared" ref="O41:O49" ca="1" si="26">IF(L41&gt;0,N41*100/L41,0)</f>
        <v>51.527966823112749</v>
      </c>
      <c r="P41" s="908">
        <f t="shared" ref="P41:P49" ca="1" si="27">IF(M41&gt;0,N41*100/M41,0)</f>
        <v>51.224705448440183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439342</v>
      </c>
      <c r="M43" s="914">
        <f t="shared" ca="1" si="28"/>
        <v>441943</v>
      </c>
      <c r="N43" s="914">
        <f t="shared" ca="1" si="28"/>
        <v>226384</v>
      </c>
      <c r="O43" s="914">
        <f t="shared" ca="1" si="26"/>
        <v>51.527966823112749</v>
      </c>
      <c r="P43" s="914">
        <f t="shared" ca="1" si="27"/>
        <v>51.224705448440183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439342</v>
      </c>
      <c r="M44" s="864">
        <f t="shared" ca="1" si="29"/>
        <v>441943</v>
      </c>
      <c r="N44" s="864">
        <f t="shared" ca="1" si="29"/>
        <v>226384</v>
      </c>
      <c r="O44" s="864">
        <f t="shared" ca="1" si="26"/>
        <v>51.527966823112749</v>
      </c>
      <c r="P44" s="864">
        <f t="shared" ca="1" si="27"/>
        <v>51.224705448440183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IFERROR(__xludf.DUMMYFUNCTION("IMPORTRANGE(""https://docs.google.com/spreadsheets/d/1MeEWN-I1oV_STSDYn1IFDPWt_1FKiwhDph83XaGc0o0/edit?usp=sharing"",""งบพรบ!M40"")"),439342)</f>
        <v>439342</v>
      </c>
      <c r="M46" s="870">
        <f ca="1">IFERROR(__xludf.DUMMYFUNCTION("IMPORTRANGE(""https://docs.google.com/spreadsheets/d/1MeEWN-I1oV_STSDYn1IFDPWt_1FKiwhDph83XaGc0o0/edit?usp=sharing"",""งบพรบ!R40"")"),441943)</f>
        <v>441943</v>
      </c>
      <c r="N46" s="870">
        <f ca="1">IFERROR(__xludf.DUMMYFUNCTION("IMPORTRANGE(""https://docs.google.com/spreadsheets/d/1MeEWN-I1oV_STSDYn1IFDPWt_1FKiwhDph83XaGc0o0/edit?usp=sharing"",""งบพรบ!T40"")"),226384)</f>
        <v>226384</v>
      </c>
      <c r="O46" s="870">
        <f t="shared" ca="1" si="26"/>
        <v>51.527966823112749</v>
      </c>
      <c r="P46" s="870">
        <f t="shared" ca="1" si="27"/>
        <v>51.224705448440183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IFERROR(__xludf.DUMMYFUNCTION("IMPORTRANGE(""https://docs.google.com/spreadsheets/d/1MeEWN-I1oV_STSDYn1IFDPWt_1FKiwhDph83XaGc0o0/edit?usp=sharing"",""งบพรบ!P40"")"),0)</f>
        <v>0</v>
      </c>
      <c r="M49" s="876">
        <f ca="1">IFERROR(__xludf.DUMMYFUNCTION("IMPORTRANGE(""https://docs.google.com/spreadsheets/d/1MeEWN-I1oV_STSDYn1IFDPWt_1FKiwhDph83XaGc0o0/edit?usp=sharing"",""งบพรบ!S40"")"),0)</f>
        <v>0</v>
      </c>
      <c r="N49" s="876">
        <f ca="1">IFERROR(__xludf.DUMMYFUNCTION("IMPORTRANGE(""https://docs.google.com/spreadsheets/d/1MeEWN-I1oV_STSDYn1IFDPWt_1FKiwhDph83XaGc0o0/edit?usp=sharing"",""งบพรบ!U40"")"),0)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696600</v>
      </c>
      <c r="M53" s="936">
        <f t="shared" ca="1" si="31"/>
        <v>522450</v>
      </c>
      <c r="N53" s="936">
        <f t="shared" ca="1" si="31"/>
        <v>426762.91</v>
      </c>
      <c r="O53" s="936">
        <f t="shared" ref="O53:O61" ca="1" si="32">IF(L53&gt;0,N53*100/L53,0)</f>
        <v>61.263696525983349</v>
      </c>
      <c r="P53" s="936">
        <f t="shared" ref="P53:P61" ca="1" si="33">IF(M53&gt;0,N53*100/M53,0)</f>
        <v>81.684928701311136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696600</v>
      </c>
      <c r="M55" s="942">
        <f t="shared" ca="1" si="34"/>
        <v>522450</v>
      </c>
      <c r="N55" s="942">
        <f t="shared" ca="1" si="34"/>
        <v>426762.91</v>
      </c>
      <c r="O55" s="942">
        <f t="shared" ca="1" si="32"/>
        <v>61.263696525983349</v>
      </c>
      <c r="P55" s="942">
        <f t="shared" ca="1" si="33"/>
        <v>81.684928701311136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696600</v>
      </c>
      <c r="M56" s="864">
        <f t="shared" ca="1" si="35"/>
        <v>522450</v>
      </c>
      <c r="N56" s="864">
        <f t="shared" ca="1" si="35"/>
        <v>426762.91</v>
      </c>
      <c r="O56" s="864">
        <f t="shared" ca="1" si="32"/>
        <v>61.263696525983349</v>
      </c>
      <c r="P56" s="864">
        <f t="shared" ca="1" si="33"/>
        <v>81.684928701311136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IFERROR(__xludf.DUMMYFUNCTION("IMPORTRANGE(""https://docs.google.com/spreadsheets/d/1MeEWN-I1oV_STSDYn1IFDPWt_1FKiwhDph83XaGc0o0/edit?usp=sharing"",""งบพรบ!W40"")"),696600)</f>
        <v>696600</v>
      </c>
      <c r="M58" s="870">
        <f ca="1">IFERROR(__xludf.DUMMYFUNCTION("IMPORTRANGE(""https://docs.google.com/spreadsheets/d/1MeEWN-I1oV_STSDYn1IFDPWt_1FKiwhDph83XaGc0o0/edit?usp=sharing"",""งบพรบ!AB40"")"),522450)</f>
        <v>522450</v>
      </c>
      <c r="N58" s="870">
        <f ca="1">IFERROR(__xludf.DUMMYFUNCTION("IMPORTRANGE(""https://docs.google.com/spreadsheets/d/1MeEWN-I1oV_STSDYn1IFDPWt_1FKiwhDph83XaGc0o0/edit?usp=sharing"",""งบพรบ!AD40"")"),426762.91)</f>
        <v>426762.91</v>
      </c>
      <c r="O58" s="870">
        <f t="shared" ca="1" si="32"/>
        <v>61.263696525983349</v>
      </c>
      <c r="P58" s="870">
        <f t="shared" ca="1" si="33"/>
        <v>81.684928701311136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IFERROR(__xludf.DUMMYFUNCTION("IMPORTRANGE(""https://docs.google.com/spreadsheets/d/1MeEWN-I1oV_STSDYn1IFDPWt_1FKiwhDph83XaGc0o0/edit?usp=sharing"",""งบพรบ!Z40"")"),0)</f>
        <v>0</v>
      </c>
      <c r="M61" s="876">
        <f ca="1">IFERROR(__xludf.DUMMYFUNCTION("IMPORTRANGE(""https://docs.google.com/spreadsheets/d/1MeEWN-I1oV_STSDYn1IFDPWt_1FKiwhDph83XaGc0o0/edit?usp=sharing"",""งบพรบ!AC40"")"),0)</f>
        <v>0</v>
      </c>
      <c r="N61" s="876">
        <f ca="1">IFERROR(__xludf.DUMMYFUNCTION("IMPORTRANGE(""https://docs.google.com/spreadsheets/d/1MeEWN-I1oV_STSDYn1IFDPWt_1FKiwhDph83XaGc0o0/edit?usp=sharing"",""งบพรบ!AE40"")"),0)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30</v>
      </c>
      <c r="J65" s="962">
        <f t="shared" si="37"/>
        <v>30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920900</v>
      </c>
      <c r="M66" s="972">
        <f t="shared" ca="1" si="39"/>
        <v>700490</v>
      </c>
      <c r="N66" s="972">
        <f t="shared" ca="1" si="39"/>
        <v>515122.97</v>
      </c>
      <c r="O66" s="972">
        <f t="shared" ref="O66:O74" ca="1" si="40">IF(L66&gt;0,N66*100/L66,0)</f>
        <v>55.936906287327616</v>
      </c>
      <c r="P66" s="972">
        <f t="shared" ref="P66:P74" ca="1" si="41">IF(M66&gt;0,N66*100/M66,0)</f>
        <v>73.537519450670246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920900</v>
      </c>
      <c r="M68" s="870">
        <f t="shared" ca="1" si="42"/>
        <v>700490</v>
      </c>
      <c r="N68" s="870">
        <f t="shared" ca="1" si="42"/>
        <v>515122.97</v>
      </c>
      <c r="O68" s="870">
        <f t="shared" ca="1" si="40"/>
        <v>55.936906287327616</v>
      </c>
      <c r="P68" s="870">
        <f t="shared" ca="1" si="41"/>
        <v>73.537519450670246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920900</v>
      </c>
      <c r="M69" s="864">
        <f t="shared" ca="1" si="43"/>
        <v>700490</v>
      </c>
      <c r="N69" s="864">
        <f t="shared" ca="1" si="43"/>
        <v>515122.97</v>
      </c>
      <c r="O69" s="864">
        <f t="shared" ca="1" si="40"/>
        <v>55.936906287327616</v>
      </c>
      <c r="P69" s="864">
        <f t="shared" ca="1" si="41"/>
        <v>73.537519450670246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IFERROR(__xludf.DUMMYFUNCTION("IMPORTRANGE(""https://docs.google.com/spreadsheets/d/1MeEWN-I1oV_STSDYn1IFDPWt_1FKiwhDph83XaGc0o0/edit?usp=sharing"",""งบพรบ!AG40"")"),920900)</f>
        <v>920900</v>
      </c>
      <c r="M71" s="870">
        <f ca="1">IFERROR(__xludf.DUMMYFUNCTION("IMPORTRANGE(""https://docs.google.com/spreadsheets/d/1MeEWN-I1oV_STSDYn1IFDPWt_1FKiwhDph83XaGc0o0/edit?usp=sharing"",""งบพรบ!AL40"")"),700490)</f>
        <v>700490</v>
      </c>
      <c r="N71" s="870">
        <f ca="1">IFERROR(__xludf.DUMMYFUNCTION("IMPORTRANGE(""https://docs.google.com/spreadsheets/d/1MeEWN-I1oV_STSDYn1IFDPWt_1FKiwhDph83XaGc0o0/edit?usp=sharing"",""งบพรบ!AN40"")"),515122.97)</f>
        <v>515122.97</v>
      </c>
      <c r="O71" s="870">
        <f t="shared" ca="1" si="40"/>
        <v>55.936906287327616</v>
      </c>
      <c r="P71" s="870">
        <f t="shared" ca="1" si="41"/>
        <v>73.537519450670246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IFERROR(__xludf.DUMMYFUNCTION("IMPORTRANGE(""https://docs.google.com/spreadsheets/d/1MeEWN-I1oV_STSDYn1IFDPWt_1FKiwhDph83XaGc0o0/edit?usp=sharing"",""งบพรบ!AJ40"")"),0)</f>
        <v>0</v>
      </c>
      <c r="M74" s="870">
        <f ca="1">IFERROR(__xludf.DUMMYFUNCTION("IMPORTRANGE(""https://docs.google.com/spreadsheets/d/1MeEWN-I1oV_STSDYn1IFDPWt_1FKiwhDph83XaGc0o0/edit?usp=sharing"",""งบพรบ!AM40"")"),0)</f>
        <v>0</v>
      </c>
      <c r="N74" s="870">
        <f ca="1">IFERROR(__xludf.DUMMYFUNCTION("IMPORTRANGE(""https://docs.google.com/spreadsheets/d/1MeEWN-I1oV_STSDYn1IFDPWt_1FKiwhDph83XaGc0o0/edit?usp=sharing"",""งบพรบ!AO40"")"),0)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30</v>
      </c>
      <c r="J77" s="863">
        <f t="shared" si="45"/>
        <v>30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IFERROR(__xludf.DUMMYFUNCTION("IMPORTRANGE(""https://docs.google.com/spreadsheets/d/1QqKyyYR6Q21VydFLVH3TRQUabQu_ym0Zz7PgGX0-kHA/edit?usp=sharing"",""แผน!H40"")"),0)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IFERROR(__xludf.DUMMYFUNCTION("IMPORTRANGE(""https://docs.google.com/spreadsheets/d/1QqKyyYR6Q21VydFLVH3TRQUabQu_ym0Zz7PgGX0-kHA/edit?usp=sharing"",""แผน!I40"")"),0)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IFERROR(__xludf.DUMMYFUNCTION("IMPORTRANGE(""https://docs.google.com/spreadsheets/d/1QqKyyYR6Q21VydFLVH3TRQUabQu_ym0Zz7PgGX0-kHA/edit?usp=sharing"",""แผน!F40"")"),0)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IFERROR(__xludf.DUMMYFUNCTION("IMPORTRANGE(""https://docs.google.com/spreadsheets/d/1QqKyyYR6Q21VydFLVH3TRQUabQu_ym0Zz7PgGX0-kHA/edit?usp=sharing"",""แผน!G40"")"),0)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IFERROR(__xludf.DUMMYFUNCTION("IMPORTRANGE(""https://docs.google.com/spreadsheets/d/1QqKyyYR6Q21VydFLVH3TRQUabQu_ym0Zz7PgGX0-kHA/edit?usp=sharing"",""แผน!D40"")"),1)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IFERROR(__xludf.DUMMYFUNCTION("IMPORTRANGE(""https://docs.google.com/spreadsheets/d/1QqKyyYR6Q21VydFLVH3TRQUabQu_ym0Zz7PgGX0-kHA/edit?usp=sharing"",""แผน!E40"")"),30)</f>
        <v>30</v>
      </c>
      <c r="J83" s="992">
        <v>30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IFERROR(__xludf.DUMMYFUNCTION("IMPORTRANGE(""https://docs.google.com/spreadsheets/d/1QqKyyYR6Q21VydFLVH3TRQUabQu_ym0Zz7PgGX0-kHA/edit?usp=sharing"",""แผน!J40"")"),1)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30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10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86340</v>
      </c>
      <c r="M88" s="972">
        <f t="shared" ca="1" si="49"/>
        <v>79640</v>
      </c>
      <c r="N88" s="972">
        <f t="shared" ca="1" si="49"/>
        <v>23340</v>
      </c>
      <c r="O88" s="972">
        <f t="shared" ref="O88:O96" ca="1" si="50">IF(L88&gt;0,N88*100/L88,0)</f>
        <v>27.032661570535094</v>
      </c>
      <c r="P88" s="972">
        <f t="shared" ref="P88:P96" ca="1" si="51">IF(M88&gt;0,N88*100/M88,0)</f>
        <v>29.306880964339527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86340</v>
      </c>
      <c r="M90" s="870">
        <f t="shared" ca="1" si="52"/>
        <v>79640</v>
      </c>
      <c r="N90" s="870">
        <f t="shared" ca="1" si="52"/>
        <v>23340</v>
      </c>
      <c r="O90" s="870">
        <f t="shared" ca="1" si="50"/>
        <v>27.032661570535094</v>
      </c>
      <c r="P90" s="870">
        <f t="shared" ca="1" si="51"/>
        <v>29.306880964339527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86340</v>
      </c>
      <c r="M91" s="864">
        <f t="shared" ca="1" si="53"/>
        <v>79640</v>
      </c>
      <c r="N91" s="864">
        <f t="shared" ca="1" si="53"/>
        <v>23340</v>
      </c>
      <c r="O91" s="864">
        <f t="shared" ca="1" si="50"/>
        <v>27.032661570535094</v>
      </c>
      <c r="P91" s="864">
        <f t="shared" ca="1" si="51"/>
        <v>29.306880964339527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IFERROR(__xludf.DUMMYFUNCTION("IMPORTRANGE(""https://docs.google.com/spreadsheets/d/1MeEWN-I1oV_STSDYn1IFDPWt_1FKiwhDph83XaGc0o0/edit?usp=sharing"",""งบพรบ!AQ40"")"),86340)</f>
        <v>86340</v>
      </c>
      <c r="M93" s="870">
        <f ca="1">IFERROR(__xludf.DUMMYFUNCTION("IMPORTRANGE(""https://docs.google.com/spreadsheets/d/1MeEWN-I1oV_STSDYn1IFDPWt_1FKiwhDph83XaGc0o0/edit?usp=sharing"",""งบพรบ!AV40"")"),79640)</f>
        <v>79640</v>
      </c>
      <c r="N93" s="870">
        <f ca="1">IFERROR(__xludf.DUMMYFUNCTION("IMPORTRANGE(""https://docs.google.com/spreadsheets/d/1MeEWN-I1oV_STSDYn1IFDPWt_1FKiwhDph83XaGc0o0/edit?usp=sharing"",""งบพรบ!AX40"")"),23340)</f>
        <v>23340</v>
      </c>
      <c r="O93" s="870">
        <f t="shared" ca="1" si="50"/>
        <v>27.032661570535094</v>
      </c>
      <c r="P93" s="870">
        <f t="shared" ca="1" si="51"/>
        <v>29.306880964339527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IFERROR(__xludf.DUMMYFUNCTION("IMPORTRANGE(""https://docs.google.com/spreadsheets/d/1MeEWN-I1oV_STSDYn1IFDPWt_1FKiwhDph83XaGc0o0/edit?usp=sharing"",""งบพรบ!AT40"")"),0)</f>
        <v>0</v>
      </c>
      <c r="M96" s="870">
        <f ca="1">IFERROR(__xludf.DUMMYFUNCTION("IMPORTRANGE(""https://docs.google.com/spreadsheets/d/1MeEWN-I1oV_STSDYn1IFDPWt_1FKiwhDph83XaGc0o0/edit?usp=sharing"",""งบพรบ!AW40"")"),0)</f>
        <v>0</v>
      </c>
      <c r="N96" s="870">
        <f ca="1">IFERROR(__xludf.DUMMYFUNCTION("IMPORTRANGE(""https://docs.google.com/spreadsheets/d/1MeEWN-I1oV_STSDYn1IFDPWt_1FKiwhDph83XaGc0o0/edit?usp=sharing"",""งบพรบ!AY40"")"),0)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IFERROR(__xludf.DUMMYFUNCTION("IMPORTRANGE(""https://docs.google.com/spreadsheets/d/1QqKyyYR6Q21VydFLVH3TRQUabQu_ym0Zz7PgGX0-kHA/edit?usp=sharing"",""แผน!K40"")"),30)</f>
        <v>30</v>
      </c>
      <c r="J98" s="863">
        <f>J102</f>
        <v>30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IFERROR(__xludf.DUMMYFUNCTION("IMPORTRANGE(""https://docs.google.com/spreadsheets/d/1QqKyyYR6Q21VydFLVH3TRQUabQu_ym0Zz7PgGX0-kHA/edit?usp=sharing"",""แผน!L40"")"),10)</f>
        <v>10</v>
      </c>
      <c r="J99" s="863">
        <f>J104</f>
        <v>10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IFERROR(__xludf.DUMMYFUNCTION("IMPORTRANGE(""https://docs.google.com/spreadsheets/d/1QqKyyYR6Q21VydFLVH3TRQUabQu_ym0Zz7PgGX0-kHA/edit?usp=sharing"",""แผน!M40"")"),2)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IFERROR(__xludf.DUMMYFUNCTION("IMPORTRANGE(""https://docs.google.com/spreadsheets/d/1QqKyyYR6Q21VydFLVH3TRQUabQu_ym0Zz7PgGX0-kHA/edit?usp=sharing"",""แผน!N40"")"),30)</f>
        <v>30</v>
      </c>
      <c r="J102" s="992">
        <v>30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IFERROR(__xludf.DUMMYFUNCTION("IMPORTRANGE(""https://docs.google.com/spreadsheets/d/1QqKyyYR6Q21VydFLVH3TRQUabQu_ym0Zz7PgGX0-kHA/edit?usp=sharing"",""แผน!O40"")"),10)</f>
        <v>10</v>
      </c>
      <c r="J103" s="992">
        <v>10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IFERROR(__xludf.DUMMYFUNCTION("IMPORTRANGE(""https://docs.google.com/spreadsheets/d/1QqKyyYR6Q21VydFLVH3TRQUabQu_ym0Zz7PgGX0-kHA/edit?usp=sharing"",""แผน!O40"")"),10)</f>
        <v>10</v>
      </c>
      <c r="J104" s="992">
        <v>10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IFERROR(__xludf.DUMMYFUNCTION("IMPORTRANGE(""https://docs.google.com/spreadsheets/d/1QqKyyYR6Q21VydFLVH3TRQUabQu_ym0Zz7PgGX0-kHA/edit?usp=sharing"",""แผน!P40"")"),1)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IFERROR(__xludf.DUMMYFUNCTION("IMPORTRANGE(""https://docs.google.com/spreadsheets/d/1QqKyyYR6Q21VydFLVH3TRQUabQu_ym0Zz7PgGX0-kHA/edit?usp=sharing"",""แผน!P40"")"),1)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IFERROR(__xludf.DUMMYFUNCTION("IMPORTRANGE(""https://docs.google.com/spreadsheets/d/1QqKyyYR6Q21VydFLVH3TRQUabQu_ym0Zz7PgGX0-kHA/edit?usp=sharing"",""แผน!Q40"")"),1)</f>
        <v>1</v>
      </c>
      <c r="J109" s="992"/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IFERROR(__xludf.DUMMYFUNCTION("IMPORTRANGE(""https://docs.google.com/spreadsheets/d/1QqKyyYR6Q21VydFLVH3TRQUabQu_ym0Zz7PgGX0-kHA/edit?usp=sharing"",""แผน!Q40"")"),1)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IFERROR(__xludf.DUMMYFUNCTION("IMPORTRANGE(""https://docs.google.com/spreadsheets/d/1QqKyyYR6Q21VydFLVH3TRQUabQu_ym0Zz7PgGX0-kHA/edit?usp=sharing"",""แผน!R40"")"),10)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IFERROR(__xludf.DUMMYFUNCTION("IMPORTRANGE(""https://docs.google.com/spreadsheets/d/1QqKyyYR6Q21VydFLVH3TRQUabQu_ym0Zz7PgGX0-kHA/edit?usp=sharing"",""แผน!R40"")"),10)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IFERROR(__xludf.DUMMYFUNCTION("IMPORTRANGE(""https://docs.google.com/spreadsheets/d/1QqKyyYR6Q21VydFLVH3TRQUabQu_ym0Zz7PgGX0-kHA/edit?usp=sharing"",""แผน!R40"")"),10)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IFERROR(__xludf.DUMMYFUNCTION("IMPORTRANGE(""https://docs.google.com/spreadsheets/d/1QqKyyYR6Q21VydFLVH3TRQUabQu_ym0Zz7PgGX0-kHA/edit?usp=sharing"",""แผน!S40"")"),1)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IFERROR(__xludf.DUMMYFUNCTION("IMPORTRANGE(""https://docs.google.com/spreadsheets/d/1QqKyyYR6Q21VydFLVH3TRQUabQu_ym0Zz7PgGX0-kHA/edit?usp=sharing"",""แผน!T40"")"),1)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IFERROR(__xludf.DUMMYFUNCTION("IMPORTRANGE(""https://docs.google.com/spreadsheets/d/1MeEWN-I1oV_STSDYn1IFDPWt_1FKiwhDph83XaGc0o0/edit?usp=sharing"",""งบพรบ!BA40"")"),0)</f>
        <v>0</v>
      </c>
      <c r="M124" s="870">
        <f ca="1">IFERROR(__xludf.DUMMYFUNCTION("IMPORTRANGE(""https://docs.google.com/spreadsheets/d/1MeEWN-I1oV_STSDYn1IFDPWt_1FKiwhDph83XaGc0o0/edit?usp=sharing"",""งบพรบ!BF40"")"),0)</f>
        <v>0</v>
      </c>
      <c r="N124" s="870">
        <f ca="1">IFERROR(__xludf.DUMMYFUNCTION("IMPORTRANGE(""https://docs.google.com/spreadsheets/d/1MeEWN-I1oV_STSDYn1IFDPWt_1FKiwhDph83XaGc0o0/edit?usp=sharing"",""งบพรบ!BH40"")"),0)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IFERROR(__xludf.DUMMYFUNCTION("IMPORTRANGE(""https://docs.google.com/spreadsheets/d/1MeEWN-I1oV_STSDYn1IFDPWt_1FKiwhDph83XaGc0o0/edit?usp=sharing"",""งบพรบ!BD40"")"),0)</f>
        <v>0</v>
      </c>
      <c r="M127" s="870">
        <f ca="1">IFERROR(__xludf.DUMMYFUNCTION("IMPORTRANGE(""https://docs.google.com/spreadsheets/d/1MeEWN-I1oV_STSDYn1IFDPWt_1FKiwhDph83XaGc0o0/edit?usp=sharing"",""งบพรบ!BG40"")"),0)</f>
        <v>0</v>
      </c>
      <c r="N127" s="870">
        <f ca="1">IFERROR(__xludf.DUMMYFUNCTION("IMPORTRANGE(""https://docs.google.com/spreadsheets/d/1MeEWN-I1oV_STSDYn1IFDPWt_1FKiwhDph83XaGc0o0/edit?usp=sharing"",""งบพรบ!BI40"")"),0)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1</v>
      </c>
      <c r="J130" s="962">
        <f t="shared" si="66"/>
        <v>1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10</v>
      </c>
      <c r="J131" s="962">
        <f t="shared" ca="1" si="68"/>
        <v>10</v>
      </c>
      <c r="K131" s="963">
        <f t="shared" ca="1" si="67"/>
        <v>100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151655</v>
      </c>
      <c r="M132" s="972">
        <f t="shared" ca="1" si="69"/>
        <v>146900</v>
      </c>
      <c r="N132" s="972">
        <f t="shared" ca="1" si="69"/>
        <v>133600</v>
      </c>
      <c r="O132" s="972">
        <f t="shared" ref="O132:O140" ca="1" si="70">IF(L132&gt;0,N132*100/L132,0)</f>
        <v>88.094688602419964</v>
      </c>
      <c r="P132" s="972">
        <f t="shared" ref="P132:P140" ca="1" si="71">IF(M132&gt;0,N132*100/M132,0)</f>
        <v>90.946221919673249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151655</v>
      </c>
      <c r="M134" s="870">
        <f t="shared" ca="1" si="72"/>
        <v>146900</v>
      </c>
      <c r="N134" s="870">
        <f t="shared" ca="1" si="72"/>
        <v>133600</v>
      </c>
      <c r="O134" s="870">
        <f t="shared" ca="1" si="70"/>
        <v>88.094688602419964</v>
      </c>
      <c r="P134" s="870">
        <f t="shared" ca="1" si="71"/>
        <v>90.946221919673249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48655</v>
      </c>
      <c r="M135" s="864">
        <f t="shared" ca="1" si="73"/>
        <v>43900</v>
      </c>
      <c r="N135" s="864">
        <f t="shared" ca="1" si="73"/>
        <v>30600</v>
      </c>
      <c r="O135" s="864">
        <f t="shared" ca="1" si="70"/>
        <v>62.891789127530572</v>
      </c>
      <c r="P135" s="864">
        <f t="shared" ca="1" si="71"/>
        <v>69.703872437357631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IFERROR(__xludf.DUMMYFUNCTION("IMPORTRANGE(""https://docs.google.com/spreadsheets/d/1MeEWN-I1oV_STSDYn1IFDPWt_1FKiwhDph83XaGc0o0/edit?usp=sharing"",""งบพรบ!BK40"")"),48655)</f>
        <v>48655</v>
      </c>
      <c r="M137" s="870">
        <f ca="1">IFERROR(__xludf.DUMMYFUNCTION("IMPORTRANGE(""https://docs.google.com/spreadsheets/d/1MeEWN-I1oV_STSDYn1IFDPWt_1FKiwhDph83XaGc0o0/edit?usp=sharing"",""งบพรบ!BP40"")"),43900)</f>
        <v>43900</v>
      </c>
      <c r="N137" s="870">
        <f ca="1">IFERROR(__xludf.DUMMYFUNCTION("IMPORTRANGE(""https://docs.google.com/spreadsheets/d/1MeEWN-I1oV_STSDYn1IFDPWt_1FKiwhDph83XaGc0o0/edit?usp=sharing"",""งบพรบ!BR40"")"),30600)</f>
        <v>30600</v>
      </c>
      <c r="O137" s="870">
        <f t="shared" ca="1" si="70"/>
        <v>62.891789127530572</v>
      </c>
      <c r="P137" s="870">
        <f t="shared" ca="1" si="71"/>
        <v>69.703872437357631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103000</v>
      </c>
      <c r="M138" s="864">
        <f t="shared" ca="1" si="74"/>
        <v>103000</v>
      </c>
      <c r="N138" s="864">
        <f t="shared" ca="1" si="74"/>
        <v>103000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IFERROR(__xludf.DUMMYFUNCTION("IMPORTRANGE(""https://docs.google.com/spreadsheets/d/1MeEWN-I1oV_STSDYn1IFDPWt_1FKiwhDph83XaGc0o0/edit?usp=sharing"",""งบพรบ!BN40"")"),103000)</f>
        <v>103000</v>
      </c>
      <c r="M140" s="870">
        <f ca="1">IFERROR(__xludf.DUMMYFUNCTION("IMPORTRANGE(""https://docs.google.com/spreadsheets/d/1MeEWN-I1oV_STSDYn1IFDPWt_1FKiwhDph83XaGc0o0/edit?usp=sharing"",""งบพรบ!BQ40"")"),103000)</f>
        <v>103000</v>
      </c>
      <c r="N140" s="870">
        <f ca="1">IFERROR(__xludf.DUMMYFUNCTION("IMPORTRANGE(""https://docs.google.com/spreadsheets/d/1MeEWN-I1oV_STSDYn1IFDPWt_1FKiwhDph83XaGc0o0/edit?usp=sharing"",""งบพรบ!BS40"")"),103000)</f>
        <v>103000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10</v>
      </c>
      <c r="J143" s="863">
        <f ca="1">IF(AND(J144&gt;=I144,J145&gt;=I145),J145,0)</f>
        <v>10</v>
      </c>
      <c r="K143" s="864">
        <f t="shared" ref="K143:K146" ca="1" si="75">IF(I143&gt;0,J143*100/I143,0)</f>
        <v>100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IFERROR(__xludf.DUMMYFUNCTION("IMPORTRANGE(""https://docs.google.com/spreadsheets/d/1QqKyyYR6Q21VydFLVH3TRQUabQu_ym0Zz7PgGX0-kHA/edit?usp=sharing"",""แผน!U40"")"),5)</f>
        <v>5</v>
      </c>
      <c r="J144" s="992">
        <v>5</v>
      </c>
      <c r="K144" s="864">
        <f t="shared" ca="1" si="75"/>
        <v>100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IFERROR(__xludf.DUMMYFUNCTION("IMPORTRANGE(""https://docs.google.com/spreadsheets/d/1QqKyyYR6Q21VydFLVH3TRQUabQu_ym0Zz7PgGX0-kHA/edit?usp=sharing"",""แผน!V40"")"),10)</f>
        <v>10</v>
      </c>
      <c r="J145" s="992">
        <v>10</v>
      </c>
      <c r="K145" s="864">
        <f t="shared" ca="1" si="75"/>
        <v>100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IFERROR(__xludf.DUMMYFUNCTION("IMPORTRANGE(""https://docs.google.com/spreadsheets/d/1QqKyyYR6Q21VydFLVH3TRQUabQu_ym0Zz7PgGX0-kHA/edit?usp=sharing"",""แผน!W40"")"),1)</f>
        <v>1</v>
      </c>
      <c r="J146" s="992">
        <v>1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IFERROR(__xludf.DUMMYFUNCTION("IMPORTRANGE(""https://docs.google.com/spreadsheets/d/1MeEWN-I1oV_STSDYn1IFDPWt_1FKiwhDph83XaGc0o0/edit?usp=sharing"",""งบพรบ!BU40"")"),0)</f>
        <v>0</v>
      </c>
      <c r="M154" s="870">
        <f ca="1">IFERROR(__xludf.DUMMYFUNCTION("IMPORTRANGE(""https://docs.google.com/spreadsheets/d/1MeEWN-I1oV_STSDYn1IFDPWt_1FKiwhDph83XaGc0o0/edit?usp=sharing"",""งบพรบ!BZ40"")"),0)</f>
        <v>0</v>
      </c>
      <c r="N154" s="870">
        <f ca="1">IFERROR(__xludf.DUMMYFUNCTION("IMPORTRANGE(""https://docs.google.com/spreadsheets/d/1MeEWN-I1oV_STSDYn1IFDPWt_1FKiwhDph83XaGc0o0/edit?usp=sharing"",""งบพรบ!CB40"")"),0)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IFERROR(__xludf.DUMMYFUNCTION("IMPORTRANGE(""https://docs.google.com/spreadsheets/d/1MeEWN-I1oV_STSDYn1IFDPWt_1FKiwhDph83XaGc0o0/edit?usp=sharing"",""งบพรบ!BX40"")"),0)</f>
        <v>0</v>
      </c>
      <c r="M157" s="870">
        <f ca="1">IFERROR(__xludf.DUMMYFUNCTION("IMPORTRANGE(""https://docs.google.com/spreadsheets/d/1MeEWN-I1oV_STSDYn1IFDPWt_1FKiwhDph83XaGc0o0/edit?usp=sharing"",""งบพรบ!CA40"")"),0)</f>
        <v>0</v>
      </c>
      <c r="N157" s="870">
        <f ca="1">IFERROR(__xludf.DUMMYFUNCTION("IMPORTRANGE(""https://docs.google.com/spreadsheets/d/1MeEWN-I1oV_STSDYn1IFDPWt_1FKiwhDph83XaGc0o0/edit?usp=sharing"",""งบพรบ!CC40"")"),0)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IFERROR(__xludf.DUMMYFUNCTION("IMPORTRANGE(""https://docs.google.com/spreadsheets/d/1QqKyyYR6Q21VydFLVH3TRQUabQu_ym0Zz7PgGX0-kHA/edit?usp=sharing"",""แผน!X40"")"),0)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22055</v>
      </c>
      <c r="N165" s="972">
        <f t="shared" ca="1" si="84"/>
        <v>22055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22055</v>
      </c>
      <c r="N167" s="870">
        <f t="shared" ca="1" si="87"/>
        <v>22055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22055</v>
      </c>
      <c r="N168" s="864">
        <f t="shared" ca="1" si="88"/>
        <v>22055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IFERROR(__xludf.DUMMYFUNCTION("IMPORTRANGE(""https://docs.google.com/spreadsheets/d/1MeEWN-I1oV_STSDYn1IFDPWt_1FKiwhDph83XaGc0o0/edit?usp=sharing"",""งบพรบ!CE40"")"),22055)</f>
        <v>22055</v>
      </c>
      <c r="M170" s="870">
        <f ca="1">IFERROR(__xludf.DUMMYFUNCTION("IMPORTRANGE(""https://docs.google.com/spreadsheets/d/1MeEWN-I1oV_STSDYn1IFDPWt_1FKiwhDph83XaGc0o0/edit?usp=sharing"",""งบพรบ!CJ40"")"),22055)</f>
        <v>22055</v>
      </c>
      <c r="N170" s="870">
        <f ca="1">IFERROR(__xludf.DUMMYFUNCTION("IMPORTRANGE(""https://docs.google.com/spreadsheets/d/1MeEWN-I1oV_STSDYn1IFDPWt_1FKiwhDph83XaGc0o0/edit?usp=sharing"",""งบพรบ!CL40"")"),22055)</f>
        <v>22055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IFERROR(__xludf.DUMMYFUNCTION("IMPORTRANGE(""https://docs.google.com/spreadsheets/d/1MeEWN-I1oV_STSDYn1IFDPWt_1FKiwhDph83XaGc0o0/edit?usp=sharing"",""งบพรบ!CH40"")"),0)</f>
        <v>0</v>
      </c>
      <c r="M173" s="870">
        <f ca="1">IFERROR(__xludf.DUMMYFUNCTION("IMPORTRANGE(""https://docs.google.com/spreadsheets/d/1MeEWN-I1oV_STSDYn1IFDPWt_1FKiwhDph83XaGc0o0/edit?usp=sharing"",""งบพรบ!CK40"")"),0)</f>
        <v>0</v>
      </c>
      <c r="N173" s="870">
        <f ca="1">IFERROR(__xludf.DUMMYFUNCTION("IMPORTRANGE(""https://docs.google.com/spreadsheets/d/1MeEWN-I1oV_STSDYn1IFDPWt_1FKiwhDph83XaGc0o0/edit?usp=sharing"",""งบพรบ!CM40"")"),0)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IFERROR(__xludf.DUMMYFUNCTION("IMPORTRANGE(""https://docs.google.com/spreadsheets/d/1QqKyyYR6Q21VydFLVH3TRQUabQu_ym0Zz7PgGX0-kHA/edit?usp=sharing"",""แผน!Y40"")"),11)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10</v>
      </c>
      <c r="J180" s="1041">
        <f t="shared" si="91"/>
        <v>10</v>
      </c>
      <c r="K180" s="1042">
        <f ca="1">IF(I180&gt;0,J180*100/I180,0)</f>
        <v>100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84000</v>
      </c>
      <c r="M181" s="972">
        <f t="shared" ca="1" si="92"/>
        <v>72500</v>
      </c>
      <c r="N181" s="972">
        <f t="shared" ca="1" si="92"/>
        <v>54448</v>
      </c>
      <c r="O181" s="972">
        <f t="shared" ref="O181:O189" ca="1" si="93">IF(L181&gt;0,N181*100/L181,0)</f>
        <v>64.819047619047623</v>
      </c>
      <c r="P181" s="972">
        <f t="shared" ref="P181:P189" ca="1" si="94">IF(M181&gt;0,N181*100/M181,0)</f>
        <v>75.100689655172417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84000</v>
      </c>
      <c r="M183" s="870">
        <f t="shared" ca="1" si="95"/>
        <v>72500</v>
      </c>
      <c r="N183" s="870">
        <f t="shared" ca="1" si="95"/>
        <v>54448</v>
      </c>
      <c r="O183" s="870">
        <f t="shared" ca="1" si="93"/>
        <v>64.819047619047623</v>
      </c>
      <c r="P183" s="870">
        <f t="shared" ca="1" si="94"/>
        <v>75.100689655172417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84000</v>
      </c>
      <c r="M184" s="864">
        <f t="shared" ca="1" si="96"/>
        <v>72500</v>
      </c>
      <c r="N184" s="864">
        <f t="shared" ca="1" si="96"/>
        <v>54448</v>
      </c>
      <c r="O184" s="864">
        <f t="shared" ca="1" si="93"/>
        <v>64.819047619047623</v>
      </c>
      <c r="P184" s="864">
        <f t="shared" ca="1" si="94"/>
        <v>75.100689655172417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IFERROR(__xludf.DUMMYFUNCTION("IMPORTRANGE(""https://docs.google.com/spreadsheets/d/1MeEWN-I1oV_STSDYn1IFDPWt_1FKiwhDph83XaGc0o0/edit?usp=sharing"",""งบพรบ!CO40"")"),84000)</f>
        <v>84000</v>
      </c>
      <c r="M186" s="870">
        <f ca="1">IFERROR(__xludf.DUMMYFUNCTION("IMPORTRANGE(""https://docs.google.com/spreadsheets/d/1MeEWN-I1oV_STSDYn1IFDPWt_1FKiwhDph83XaGc0o0/edit?usp=sharing"",""งบพรบ!CT40"")"),72500)</f>
        <v>72500</v>
      </c>
      <c r="N186" s="870">
        <f ca="1">IFERROR(__xludf.DUMMYFUNCTION("IMPORTRANGE(""https://docs.google.com/spreadsheets/d/1MeEWN-I1oV_STSDYn1IFDPWt_1FKiwhDph83XaGc0o0/edit?usp=sharing"",""งบพรบ!CV40"")"),54448)</f>
        <v>54448</v>
      </c>
      <c r="O186" s="870">
        <f t="shared" ca="1" si="93"/>
        <v>64.819047619047623</v>
      </c>
      <c r="P186" s="870">
        <f t="shared" ca="1" si="94"/>
        <v>75.100689655172417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IFERROR(__xludf.DUMMYFUNCTION("IMPORTRANGE(""https://docs.google.com/spreadsheets/d/1MeEWN-I1oV_STSDYn1IFDPWt_1FKiwhDph83XaGc0o0/edit?usp=sharing"",""งบพรบ!CR40"")"),0)</f>
        <v>0</v>
      </c>
      <c r="M189" s="870">
        <f ca="1">IFERROR(__xludf.DUMMYFUNCTION("IMPORTRANGE(""https://docs.google.com/spreadsheets/d/1MeEWN-I1oV_STSDYn1IFDPWt_1FKiwhDph83XaGc0o0/edit?usp=sharing"",""งบพรบ!CU40"")"),0)</f>
        <v>0</v>
      </c>
      <c r="N189" s="870">
        <f ca="1">IFERROR(__xludf.DUMMYFUNCTION("IMPORTRANGE(""https://docs.google.com/spreadsheets/d/1MeEWN-I1oV_STSDYn1IFDPWt_1FKiwhDph83XaGc0o0/edit?usp=sharing"",""งบพรบ!CW40"")"),0)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IFERROR(__xludf.DUMMYFUNCTION("IMPORTRANGE(""https://docs.google.com/spreadsheets/d/1QqKyyYR6Q21VydFLVH3TRQUabQu_ym0Zz7PgGX0-kHA/edit?usp=sharing"",""แผน!Z40"")"),6000)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IFERROR(__xludf.DUMMYFUNCTION("IMPORTRANGE(""https://docs.google.com/spreadsheets/d/1QqKyyYR6Q21VydFLVH3TRQUabQu_ym0Zz7PgGX0-kHA/edit?usp=sharing"",""แผน!AC40"")"),4)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21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21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27000</v>
      </c>
      <c r="O198" s="972">
        <f ca="1">IF(L198&gt;0,N198*100/L198,0)</f>
        <v>69.230769230769226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IFERROR(__xludf.DUMMYFUNCTION("IMPORTRANGE(""https://docs.google.com/spreadsheets/d/1QqKyyYR6Q21VydFLVH3TRQUabQu_ym0Zz7PgGX0-kHA/edit?usp=sharing"",""แผน!AE40"")"),3000)</f>
        <v>3000</v>
      </c>
      <c r="M199" s="864"/>
      <c r="N199" s="1064">
        <v>3000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IFERROR(__xludf.DUMMYFUNCTION("IMPORTRANGE(""https://docs.google.com/spreadsheets/d/1QqKyyYR6Q21VydFLVH3TRQUabQu_ym0Zz7PgGX0-kHA/edit?usp=sharing"",""แผน!AF40"")"),24000)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IFERROR(__xludf.DUMMYFUNCTION("IMPORTRANGE(""https://docs.google.com/spreadsheets/d/1QqKyyYR6Q21VydFLVH3TRQUabQu_ym0Zz7PgGX0-kHA/edit?usp=sharing"",""แผน!AG40"")"),12000)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IFERROR(__xludf.DUMMYFUNCTION("IMPORTRANGE(""https://docs.google.com/spreadsheets/d/1QqKyyYR6Q21VydFLVH3TRQUabQu_ym0Zz7PgGX0-kHA/edit?usp=sharing"",""แผน!AH40"")"),0)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IFERROR(__xludf.DUMMYFUNCTION("IMPORTRANGE(""https://docs.google.com/spreadsheets/d/1QqKyyYR6Q21VydFLVH3TRQUabQu_ym0Zz7PgGX0-kHA/edit?usp=sharing"",""แผน!AI40"")"),3)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9930</v>
      </c>
      <c r="O209" s="972">
        <f ca="1">IF(L209&gt;0,N209*100/L209,0)</f>
        <v>70.928571428571431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IFERROR(__xludf.DUMMYFUNCTION("IMPORTRANGE(""https://docs.google.com/spreadsheets/d/1QqKyyYR6Q21VydFLVH3TRQUabQu_ym0Zz7PgGX0-kHA/edit?usp=sharing"",""แผน!AK40"")"),1000)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IFERROR(__xludf.DUMMYFUNCTION("IMPORTRANGE(""https://docs.google.com/spreadsheets/d/1QqKyyYR6Q21VydFLVH3TRQUabQu_ym0Zz7PgGX0-kHA/edit?usp=sharing"",""แผน!AL40"")"),5000)</f>
        <v>5000</v>
      </c>
      <c r="M211" s="864"/>
      <c r="N211" s="1064">
        <v>5000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IFERROR(__xludf.DUMMYFUNCTION("IMPORTRANGE(""https://docs.google.com/spreadsheets/d/1QqKyyYR6Q21VydFLVH3TRQUabQu_ym0Zz7PgGX0-kHA/edit?usp=sharing"",""แผน!AM40"")"),8000)</f>
        <v>8000</v>
      </c>
      <c r="M212" s="864"/>
      <c r="N212" s="1064">
        <v>4930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IFERROR(__xludf.DUMMYFUNCTION("IMPORTRANGE(""https://docs.google.com/spreadsheets/d/1QqKyyYR6Q21VydFLVH3TRQUabQu_ym0Zz7PgGX0-kHA/edit?usp=sharing"",""แผน!AN40"")"),1)</f>
        <v>1</v>
      </c>
      <c r="J214" s="992">
        <v>1</v>
      </c>
      <c r="K214" s="864">
        <f t="shared" ref="K214:K216" ca="1" si="102">IF(I214&gt;0,J214*100/I214,0)</f>
        <v>100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IFERROR(__xludf.DUMMYFUNCTION("IMPORTRANGE(""https://docs.google.com/spreadsheets/d/1QqKyyYR6Q21VydFLVH3TRQUabQu_ym0Zz7PgGX0-kHA/edit?usp=sharing"",""แผน!AN40"")"),1)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40000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25000</v>
      </c>
      <c r="M217" s="972"/>
      <c r="N217" s="972">
        <f>N218+N219+N220</f>
        <v>17518</v>
      </c>
      <c r="O217" s="972">
        <f ca="1">IF(L217&gt;0,N217*100/L217,0)</f>
        <v>70.072000000000003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IFERROR(__xludf.DUMMYFUNCTION("IMPORTRANGE(""https://docs.google.com/spreadsheets/d/1QqKyyYR6Q21VydFLVH3TRQUabQu_ym0Zz7PgGX0-kHA/edit?usp=sharing"",""แผน!AP40"")"),5000)</f>
        <v>5000</v>
      </c>
      <c r="M218" s="864"/>
      <c r="N218" s="1064">
        <v>5000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IFERROR(__xludf.DUMMYFUNCTION("IMPORTRANGE(""https://docs.google.com/spreadsheets/d/1QqKyyYR6Q21VydFLVH3TRQUabQu_ym0Zz7PgGX0-kHA/edit?usp=sharing"",""แผน!AQ40"")"),10000)</f>
        <v>10000</v>
      </c>
      <c r="M219" s="864"/>
      <c r="N219" s="1064">
        <v>7068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IFERROR(__xludf.DUMMYFUNCTION("IMPORTRANGE(""https://docs.google.com/spreadsheets/d/1QqKyyYR6Q21VydFLVH3TRQUabQu_ym0Zz7PgGX0-kHA/edit?usp=sharing"",""แผน!AR40"")"),10000)</f>
        <v>10000</v>
      </c>
      <c r="M220" s="864"/>
      <c r="N220" s="1064">
        <v>5450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IFERROR(__xludf.DUMMYFUNCTION("IMPORTRANGE(""https://docs.google.com/spreadsheets/d/1QqKyyYR6Q21VydFLVH3TRQUabQu_ym0Zz7PgGX0-kHA/edit?usp=sharing"",""แผน!AT40"")"),40000)</f>
        <v>40000</v>
      </c>
      <c r="J223" s="992">
        <v>40000</v>
      </c>
      <c r="K223" s="978">
        <f t="shared" ref="K223:K226" ca="1" si="104">IF(I223&gt;0,J223*100/I223,0)</f>
        <v>100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IFERROR(__xludf.DUMMYFUNCTION("IMPORTRANGE(""https://docs.google.com/spreadsheets/d/1QqKyyYR6Q21VydFLVH3TRQUabQu_ym0Zz7PgGX0-kHA/edit?usp=sharing"",""แผน!AT40"")"),40000)</f>
        <v>40000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IFERROR(__xludf.DUMMYFUNCTION("IMPORTRANGE(""https://docs.google.com/spreadsheets/d/1QqKyyYR6Q21VydFLVH3TRQUabQu_ym0Zz7PgGX0-kHA/edit?usp=sharing"",""แผน!AS40"")"),10)</f>
        <v>10</v>
      </c>
      <c r="J225" s="992">
        <v>10</v>
      </c>
      <c r="K225" s="978">
        <f t="shared" ca="1" si="104"/>
        <v>100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IFERROR(__xludf.DUMMYFUNCTION("IMPORTRANGE(""https://docs.google.com/spreadsheets/d/1QqKyyYR6Q21VydFLVH3TRQUabQu_ym0Zz7PgGX0-kHA/edit?usp=sharing"",""แผน!AV40"")"),0)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IFERROR(__xludf.DUMMYFUNCTION("IMPORTRANGE(""https://docs.google.com/spreadsheets/d/1QqKyyYR6Q21VydFLVH3TRQUabQu_ym0Zz7PgGX0-kHA/edit?usp=sharing"",""แผน!AW40"")"),0)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IFERROR(__xludf.DUMMYFUNCTION("IMPORTRANGE(""https://docs.google.com/spreadsheets/d/1QqKyyYR6Q21VydFLVH3TRQUabQu_ym0Zz7PgGX0-kHA/edit?usp=sharing"",""แผน!AX40"")"),0)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IFERROR(__xludf.DUMMYFUNCTION("IMPORTRANGE(""https://docs.google.com/spreadsheets/d/1QqKyyYR6Q21VydFLVH3TRQUabQu_ym0Zz7PgGX0-kHA/edit?usp=sharing"",""แผน!AY40"")"),0)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IFERROR(__xludf.DUMMYFUNCTION("IMPORTRANGE(""https://docs.google.com/spreadsheets/d/1QqKyyYR6Q21VydFLVH3TRQUabQu_ym0Zz7PgGX0-kHA/edit?usp=sharing"",""แผน!BE40"")"),0)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IFERROR(__xludf.DUMMYFUNCTION("IMPORTRANGE(""https://docs.google.com/spreadsheets/d/1QqKyyYR6Q21VydFLVH3TRQUabQu_ym0Zz7PgGX0-kHA/edit?usp=sharing"",""แผน!AZ40"")"),0)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IFERROR(__xludf.DUMMYFUNCTION("IMPORTRANGE(""https://docs.google.com/spreadsheets/d/1QqKyyYR6Q21VydFLVH3TRQUabQu_ym0Zz7PgGX0-kHA/edit?usp=sharing"",""แผน!BA40"")"),0)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IFERROR(__xludf.DUMMYFUNCTION("IMPORTRANGE(""https://docs.google.com/spreadsheets/d/1QqKyyYR6Q21VydFLVH3TRQUabQu_ym0Zz7PgGX0-kHA/edit?usp=sharing"",""แผน!BB40"")"),0)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IFERROR(__xludf.DUMMYFUNCTION("IMPORTRANGE(""https://docs.google.com/spreadsheets/d/1QqKyyYR6Q21VydFLVH3TRQUabQu_ym0Zz7PgGX0-kHA/edit?usp=sharing"",""แผน!BC40"")"),0)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IFERROR(__xludf.DUMMYFUNCTION("IMPORTRANGE(""https://docs.google.com/spreadsheets/d/1QqKyyYR6Q21VydFLVH3TRQUabQu_ym0Zz7PgGX0-kHA/edit?usp=sharing"",""แผน!BF40"")"),0)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23900</v>
      </c>
      <c r="O261" s="972">
        <f t="shared" ref="O261:O269" ca="1" si="117">IF(L261&gt;0,N261*100/L261,0)</f>
        <v>88.847583643122675</v>
      </c>
      <c r="P261" s="972">
        <f t="shared" ref="P261:P269" ca="1" si="118">IF(M261&gt;0,N261*100/M261,0)</f>
        <v>100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23900</v>
      </c>
      <c r="O263" s="870">
        <f t="shared" ca="1" si="117"/>
        <v>88.847583643122675</v>
      </c>
      <c r="P263" s="870">
        <f t="shared" ca="1" si="118"/>
        <v>100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23900</v>
      </c>
      <c r="O264" s="864">
        <f t="shared" ca="1" si="117"/>
        <v>88.847583643122675</v>
      </c>
      <c r="P264" s="864">
        <f t="shared" ca="1" si="118"/>
        <v>100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IFERROR(__xludf.DUMMYFUNCTION("IMPORTRANGE(""https://docs.google.com/spreadsheets/d/1MeEWN-I1oV_STSDYn1IFDPWt_1FKiwhDph83XaGc0o0/edit?usp=sharing"",""งบพรบ!CY40"")"),26900)</f>
        <v>26900</v>
      </c>
      <c r="M266" s="870">
        <f ca="1">IFERROR(__xludf.DUMMYFUNCTION("IMPORTRANGE(""https://docs.google.com/spreadsheets/d/1MeEWN-I1oV_STSDYn1IFDPWt_1FKiwhDph83XaGc0o0/edit?usp=sharing"",""งบพรบ!DD40"")"),23900)</f>
        <v>23900</v>
      </c>
      <c r="N266" s="870">
        <f ca="1">IFERROR(__xludf.DUMMYFUNCTION("IMPORTRANGE(""https://docs.google.com/spreadsheets/d/1MeEWN-I1oV_STSDYn1IFDPWt_1FKiwhDph83XaGc0o0/edit?usp=sharing"",""งบพรบ!DF40"")"),23900)</f>
        <v>23900</v>
      </c>
      <c r="O266" s="870">
        <f t="shared" ca="1" si="117"/>
        <v>88.847583643122675</v>
      </c>
      <c r="P266" s="870">
        <f t="shared" ca="1" si="118"/>
        <v>100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IFERROR(__xludf.DUMMYFUNCTION("IMPORTRANGE(""https://docs.google.com/spreadsheets/d/1MeEWN-I1oV_STSDYn1IFDPWt_1FKiwhDph83XaGc0o0/edit?usp=sharing"",""งบพรบ!DB40"")"),0)</f>
        <v>0</v>
      </c>
      <c r="M269" s="870">
        <f ca="1">IFERROR(__xludf.DUMMYFUNCTION("IMPORTRANGE(""https://docs.google.com/spreadsheets/d/1MeEWN-I1oV_STSDYn1IFDPWt_1FKiwhDph83XaGc0o0/edit?usp=sharing"",""งบพรบ!DE40"")"),0)</f>
        <v>0</v>
      </c>
      <c r="N269" s="870">
        <f ca="1">IFERROR(__xludf.DUMMYFUNCTION("IMPORTRANGE(""https://docs.google.com/spreadsheets/d/1MeEWN-I1oV_STSDYn1IFDPWt_1FKiwhDph83XaGc0o0/edit?usp=sharing"",""งบพรบ!DG40"")"),0)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IFERROR(__xludf.DUMMYFUNCTION("IMPORTRANGE(""https://docs.google.com/spreadsheets/d/1QqKyyYR6Q21VydFLVH3TRQUabQu_ym0Zz7PgGX0-kHA/edit?usp=sharing"",""แผน!EA40"")"),22)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5</v>
      </c>
      <c r="J275" s="1138">
        <f t="shared" ca="1" si="122"/>
        <v>5</v>
      </c>
      <c r="K275" s="1139">
        <f t="shared" ref="K275:K276" ca="1" si="123">IF(I275&gt;0,J275*100/I275,0)</f>
        <v>100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50</v>
      </c>
      <c r="J276" s="1141">
        <f t="shared" si="124"/>
        <v>50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22630</v>
      </c>
      <c r="M277" s="972">
        <f t="shared" ca="1" si="125"/>
        <v>22630</v>
      </c>
      <c r="N277" s="972">
        <f t="shared" ca="1" si="125"/>
        <v>20630</v>
      </c>
      <c r="O277" s="972">
        <f t="shared" ref="O277:O285" ca="1" si="126">IF(L277&gt;0,N277*100/L277,0)</f>
        <v>91.162174105170124</v>
      </c>
      <c r="P277" s="972">
        <f t="shared" ref="P277:P285" ca="1" si="127">IF(M277&gt;0,N277*100/M277,0)</f>
        <v>91.162174105170124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22630</v>
      </c>
      <c r="M279" s="870">
        <f t="shared" ca="1" si="128"/>
        <v>22630</v>
      </c>
      <c r="N279" s="870">
        <f t="shared" ca="1" si="128"/>
        <v>20630</v>
      </c>
      <c r="O279" s="870">
        <f t="shared" ca="1" si="126"/>
        <v>91.162174105170124</v>
      </c>
      <c r="P279" s="870">
        <f t="shared" ca="1" si="127"/>
        <v>91.162174105170124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22630</v>
      </c>
      <c r="M280" s="864">
        <f t="shared" ca="1" si="129"/>
        <v>22630</v>
      </c>
      <c r="N280" s="864">
        <f t="shared" ca="1" si="129"/>
        <v>20630</v>
      </c>
      <c r="O280" s="864">
        <f t="shared" ca="1" si="126"/>
        <v>91.162174105170124</v>
      </c>
      <c r="P280" s="864">
        <f t="shared" ca="1" si="127"/>
        <v>91.162174105170124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IFERROR(__xludf.DUMMYFUNCTION("IMPORTRANGE(""https://docs.google.com/spreadsheets/d/1MeEWN-I1oV_STSDYn1IFDPWt_1FKiwhDph83XaGc0o0/edit?usp=sharing"",""งบพรบ!DI40"")"),22630)</f>
        <v>22630</v>
      </c>
      <c r="M282" s="870">
        <f ca="1">IFERROR(__xludf.DUMMYFUNCTION("IMPORTRANGE(""https://docs.google.com/spreadsheets/d/1MeEWN-I1oV_STSDYn1IFDPWt_1FKiwhDph83XaGc0o0/edit?usp=sharing"",""งบพรบ!DN40"")"),22630)</f>
        <v>22630</v>
      </c>
      <c r="N282" s="870">
        <f ca="1">IFERROR(__xludf.DUMMYFUNCTION("IMPORTRANGE(""https://docs.google.com/spreadsheets/d/1MeEWN-I1oV_STSDYn1IFDPWt_1FKiwhDph83XaGc0o0/edit?usp=sharing"",""งบพรบ!DP40"")"),20630)</f>
        <v>20630</v>
      </c>
      <c r="O282" s="870">
        <f t="shared" ca="1" si="126"/>
        <v>91.162174105170124</v>
      </c>
      <c r="P282" s="870">
        <f t="shared" ca="1" si="127"/>
        <v>91.162174105170124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IFERROR(__xludf.DUMMYFUNCTION("IMPORTRANGE(""https://docs.google.com/spreadsheets/d/1MeEWN-I1oV_STSDYn1IFDPWt_1FKiwhDph83XaGc0o0/edit?usp=sharing"",""งบพรบ!DL40"")"),0)</f>
        <v>0</v>
      </c>
      <c r="M285" s="870">
        <f ca="1">IFERROR(__xludf.DUMMYFUNCTION("IMPORTRANGE(""https://docs.google.com/spreadsheets/d/1MeEWN-I1oV_STSDYn1IFDPWt_1FKiwhDph83XaGc0o0/edit?usp=sharing"",""งบพรบ!DO40"")"),0)</f>
        <v>0</v>
      </c>
      <c r="N285" s="870">
        <f ca="1">IFERROR(__xludf.DUMMYFUNCTION("IMPORTRANGE(""https://docs.google.com/spreadsheets/d/1MeEWN-I1oV_STSDYn1IFDPWt_1FKiwhDph83XaGc0o0/edit?usp=sharing"",""งบพรบ!DQ40"")"),0)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IFERROR(__xludf.DUMMYFUNCTION("IMPORTRANGE(""https://docs.google.com/spreadsheets/d/1QqKyyYR6Q21VydFLVH3TRQUabQu_ym0Zz7PgGX0-kHA/edit?usp=sharing"",""แผน!EC40"")"),50)</f>
        <v>50</v>
      </c>
      <c r="J287" s="992">
        <v>50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IFERROR(__xludf.DUMMYFUNCTION("IMPORTRANGE(""https://docs.google.com/spreadsheets/d/1QqKyyYR6Q21VydFLVH3TRQUabQu_ym0Zz7PgGX0-kHA/edit?usp=sharing"",""แผน!EB40"")"),5)</f>
        <v>5</v>
      </c>
      <c r="J288" s="999">
        <f ca="1">IF(AND(J291&gt;=I288,J294&gt;=I288),J294,0)</f>
        <v>5</v>
      </c>
      <c r="K288" s="1142">
        <f t="shared" ca="1" si="131"/>
        <v>100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IFERROR(__xludf.DUMMYFUNCTION("IMPORTRANGE(""https://docs.google.com/spreadsheets/d/1QqKyyYR6Q21VydFLVH3TRQUabQu_ym0Zz7PgGX0-kHA/edit?usp=sharing"",""แผน!EB40"")"),5)</f>
        <v>5</v>
      </c>
      <c r="J290" s="992">
        <v>5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IFERROR(__xludf.DUMMYFUNCTION("IMPORTRANGE(""https://docs.google.com/spreadsheets/d/1QqKyyYR6Q21VydFLVH3TRQUabQu_ym0Zz7PgGX0-kHA/edit?usp=sharing"",""แผน!EB40"")"),5)</f>
        <v>5</v>
      </c>
      <c r="J291" s="992">
        <v>5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IFERROR(__xludf.DUMMYFUNCTION("IMPORTRANGE(""https://docs.google.com/spreadsheets/d/1QqKyyYR6Q21VydFLVH3TRQUabQu_ym0Zz7PgGX0-kHA/edit?usp=sharing"",""แผน!EB40"")"),5)</f>
        <v>5</v>
      </c>
      <c r="J293" s="992">
        <v>5</v>
      </c>
      <c r="K293" s="978">
        <f t="shared" ref="K293:K294" ca="1" si="133">IF(I293&gt;0,J293*100/I293,0)</f>
        <v>100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IFERROR(__xludf.DUMMYFUNCTION("IMPORTRANGE(""https://docs.google.com/spreadsheets/d/1QqKyyYR6Q21VydFLVH3TRQUabQu_ym0Zz7PgGX0-kHA/edit?usp=sharing"",""แผน!EB40"")"),5)</f>
        <v>5</v>
      </c>
      <c r="J294" s="1151">
        <v>5</v>
      </c>
      <c r="K294" s="1118">
        <f t="shared" ca="1" si="133"/>
        <v>100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64400</v>
      </c>
      <c r="O298" s="972">
        <f t="shared" ref="O298:O306" ca="1" si="136">IF(L298&gt;0,N298*100/L298,0)</f>
        <v>78.15533980582525</v>
      </c>
      <c r="P298" s="972">
        <f t="shared" ref="P298:P306" ca="1" si="137">IF(M298&gt;0,N298*100/M298,0)</f>
        <v>100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64400</v>
      </c>
      <c r="O300" s="870">
        <f t="shared" ca="1" si="136"/>
        <v>78.15533980582525</v>
      </c>
      <c r="P300" s="870">
        <f t="shared" ca="1" si="137"/>
        <v>100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64400</v>
      </c>
      <c r="O301" s="864">
        <f t="shared" ca="1" si="136"/>
        <v>78.15533980582525</v>
      </c>
      <c r="P301" s="864">
        <f t="shared" ca="1" si="137"/>
        <v>100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IFERROR(__xludf.DUMMYFUNCTION("IMPORTRANGE(""https://docs.google.com/spreadsheets/d/1MeEWN-I1oV_STSDYn1IFDPWt_1FKiwhDph83XaGc0o0/edit?usp=sharing"",""งบพรบ!DS40"")"),82400)</f>
        <v>82400</v>
      </c>
      <c r="M303" s="870">
        <f ca="1">IFERROR(__xludf.DUMMYFUNCTION("IMPORTRANGE(""https://docs.google.com/spreadsheets/d/1MeEWN-I1oV_STSDYn1IFDPWt_1FKiwhDph83XaGc0o0/edit?usp=sharing"",""งบพรบ!DX40"")"),64400)</f>
        <v>64400</v>
      </c>
      <c r="N303" s="870">
        <f ca="1">IFERROR(__xludf.DUMMYFUNCTION("IMPORTRANGE(""https://docs.google.com/spreadsheets/d/1MeEWN-I1oV_STSDYn1IFDPWt_1FKiwhDph83XaGc0o0/edit?usp=sharing"",""งบพรบ!DZ40"")"),64400)</f>
        <v>64400</v>
      </c>
      <c r="O303" s="870">
        <f t="shared" ca="1" si="136"/>
        <v>78.15533980582525</v>
      </c>
      <c r="P303" s="870">
        <f t="shared" ca="1" si="137"/>
        <v>100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IFERROR(__xludf.DUMMYFUNCTION("IMPORTRANGE(""https://docs.google.com/spreadsheets/d/1MeEWN-I1oV_STSDYn1IFDPWt_1FKiwhDph83XaGc0o0/edit?usp=sharing"",""งบพรบ!DV40"")"),0)</f>
        <v>0</v>
      </c>
      <c r="M306" s="870">
        <f ca="1">IFERROR(__xludf.DUMMYFUNCTION("IMPORTRANGE(""https://docs.google.com/spreadsheets/d/1MeEWN-I1oV_STSDYn1IFDPWt_1FKiwhDph83XaGc0o0/edit?usp=sharing"",""งบพรบ!DY40"")"),0)</f>
        <v>0</v>
      </c>
      <c r="N306" s="870">
        <f ca="1">IFERROR(__xludf.DUMMYFUNCTION("IMPORTRANGE(""https://docs.google.com/spreadsheets/d/1MeEWN-I1oV_STSDYn1IFDPWt_1FKiwhDph83XaGc0o0/edit?usp=sharing"",""งบพรบ!EA40"")"),0)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IFERROR(__xludf.DUMMYFUNCTION("IMPORTRANGE(""https://docs.google.com/spreadsheets/d/1QqKyyYR6Q21VydFLVH3TRQUabQu_ym0Zz7PgGX0-kHA/edit?usp=sharing"",""แผน!ED40"")"),20)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IFERROR(__xludf.DUMMYFUNCTION("IMPORTRANGE(""https://docs.google.com/spreadsheets/d/1QqKyyYR6Q21VydFLVH3TRQUabQu_ym0Zz7PgGX0-kHA/edit?usp=sharing"",""แผน!ED40"")"),20)</f>
        <v>20</v>
      </c>
      <c r="J310" s="992">
        <v>20</v>
      </c>
      <c r="K310" s="864">
        <f t="shared" ca="1" si="141"/>
        <v>100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IFERROR(__xludf.DUMMYFUNCTION("IMPORTRANGE(""https://docs.google.com/spreadsheets/d/1QqKyyYR6Q21VydFLVH3TRQUabQu_ym0Zz7PgGX0-kHA/edit?usp=sharing"",""แผน!ED40"")"),20)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IFERROR(__xludf.DUMMYFUNCTION("IMPORTRANGE(""https://docs.google.com/spreadsheets/d/1QqKyyYR6Q21VydFLVH3TRQUabQu_ym0Zz7PgGX0-kHA/edit?usp=sharing"",""แผน!EE40"")"),4)</f>
        <v>4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IFERROR(__xludf.DUMMYFUNCTION("IMPORTRANGE(""https://docs.google.com/spreadsheets/d/1MeEWN-I1oV_STSDYn1IFDPWt_1FKiwhDph83XaGc0o0/edit?usp=sharing"",""งบพรบ!EC40"")"),0)</f>
        <v>0</v>
      </c>
      <c r="M320" s="870">
        <f ca="1">IFERROR(__xludf.DUMMYFUNCTION("IMPORTRANGE(""https://docs.google.com/spreadsheets/d/1MeEWN-I1oV_STSDYn1IFDPWt_1FKiwhDph83XaGc0o0/edit?usp=sharing"",""งบพรบ!EH40"")"),0)</f>
        <v>0</v>
      </c>
      <c r="N320" s="870">
        <f ca="1">IFERROR(__xludf.DUMMYFUNCTION("IMPORTRANGE(""https://docs.google.com/spreadsheets/d/1MeEWN-I1oV_STSDYn1IFDPWt_1FKiwhDph83XaGc0o0/edit?usp=sharing"",""งบพรบ!EJ40"")"),0)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IFERROR(__xludf.DUMMYFUNCTION("IMPORTRANGE(""https://docs.google.com/spreadsheets/d/1MeEWN-I1oV_STSDYn1IFDPWt_1FKiwhDph83XaGc0o0/edit?usp=sharing"",""งบพรบ!EF40"")"),0)</f>
        <v>0</v>
      </c>
      <c r="M323" s="870">
        <f ca="1">IFERROR(__xludf.DUMMYFUNCTION("IMPORTRANGE(""https://docs.google.com/spreadsheets/d/1MeEWN-I1oV_STSDYn1IFDPWt_1FKiwhDph83XaGc0o0/edit?usp=sharing"",""งบพรบ!EI40"")"),0)</f>
        <v>0</v>
      </c>
      <c r="N323" s="870">
        <f ca="1">IFERROR(__xludf.DUMMYFUNCTION("IMPORTRANGE(""https://docs.google.com/spreadsheets/d/1MeEWN-I1oV_STSDYn1IFDPWt_1FKiwhDph83XaGc0o0/edit?usp=sharing"",""งบพรบ!EK40"")"),0)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IFERROR(__xludf.DUMMYFUNCTION("IMPORTRANGE(""https://docs.google.com/spreadsheets/d/1QqKyyYR6Q21VydFLVH3TRQUabQu_ym0Zz7PgGX0-kHA/edit?usp=sharing"",""แผน!EF40"")"),0)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IFERROR(__xludf.DUMMYFUNCTION("IMPORTRANGE(""https://docs.google.com/spreadsheets/d/1QqKyyYR6Q21VydFLVH3TRQUabQu_ym0Zz7PgGX0-kHA/edit?usp=sharing"",""แผน!EG40"")"),2300)</f>
        <v>2300</v>
      </c>
      <c r="J327" s="1170">
        <f ca="1">J338+J341+J342+J343</f>
        <v>2282</v>
      </c>
      <c r="K327" s="1171">
        <f ca="1">IF(I327&gt;0,J327*100/I327,0)</f>
        <v>99.217391304347828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1020000</v>
      </c>
      <c r="M328" s="972">
        <f t="shared" ca="1" si="149"/>
        <v>1075000</v>
      </c>
      <c r="N328" s="972">
        <f t="shared" ca="1" si="149"/>
        <v>843477</v>
      </c>
      <c r="O328" s="972">
        <f t="shared" ref="O328:O336" ca="1" si="150">IF(L328&gt;0,N328*100/L328,0)</f>
        <v>82.693823529411759</v>
      </c>
      <c r="P328" s="972">
        <f t="shared" ref="P328:P336" ca="1" si="151">IF(M328&gt;0,N328*100/M328,0)</f>
        <v>78.462976744186051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1020000</v>
      </c>
      <c r="M330" s="870">
        <f t="shared" ca="1" si="152"/>
        <v>1075000</v>
      </c>
      <c r="N330" s="870">
        <f t="shared" ca="1" si="152"/>
        <v>843477</v>
      </c>
      <c r="O330" s="870">
        <f t="shared" ca="1" si="150"/>
        <v>82.693823529411759</v>
      </c>
      <c r="P330" s="870">
        <f t="shared" ca="1" si="151"/>
        <v>78.462976744186051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170000</v>
      </c>
      <c r="M331" s="864">
        <f t="shared" ca="1" si="153"/>
        <v>225000</v>
      </c>
      <c r="N331" s="864">
        <f t="shared" ca="1" si="153"/>
        <v>103477</v>
      </c>
      <c r="O331" s="864">
        <f t="shared" ca="1" si="150"/>
        <v>60.868823529411763</v>
      </c>
      <c r="P331" s="864">
        <f t="shared" ca="1" si="151"/>
        <v>45.989777777777775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IFERROR(__xludf.DUMMYFUNCTION("IMPORTRANGE(""https://docs.google.com/spreadsheets/d/1MeEWN-I1oV_STSDYn1IFDPWt_1FKiwhDph83XaGc0o0/edit?usp=sharing"",""งบพรบ!EM40"")"),170000)</f>
        <v>170000</v>
      </c>
      <c r="M333" s="870">
        <f ca="1">IFERROR(__xludf.DUMMYFUNCTION("IMPORTRANGE(""https://docs.google.com/spreadsheets/d/1MeEWN-I1oV_STSDYn1IFDPWt_1FKiwhDph83XaGc0o0/edit?usp=sharing"",""งบพรบ!ER40"")"),225000)</f>
        <v>225000</v>
      </c>
      <c r="N333" s="870">
        <f ca="1">IFERROR(__xludf.DUMMYFUNCTION("IMPORTRANGE(""https://docs.google.com/spreadsheets/d/1MeEWN-I1oV_STSDYn1IFDPWt_1FKiwhDph83XaGc0o0/edit?usp=sharing"",""งบพรบ!ET40"")"),103477)</f>
        <v>103477</v>
      </c>
      <c r="O333" s="870">
        <f t="shared" ca="1" si="150"/>
        <v>60.868823529411763</v>
      </c>
      <c r="P333" s="870">
        <f t="shared" ca="1" si="151"/>
        <v>45.989777777777775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850000</v>
      </c>
      <c r="M334" s="864">
        <f t="shared" ca="1" si="154"/>
        <v>850000</v>
      </c>
      <c r="N334" s="864">
        <f t="shared" ca="1" si="154"/>
        <v>740000</v>
      </c>
      <c r="O334" s="864">
        <f t="shared" ca="1" si="150"/>
        <v>87.058823529411768</v>
      </c>
      <c r="P334" s="864">
        <f t="shared" ca="1" si="151"/>
        <v>87.058823529411768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IFERROR(__xludf.DUMMYFUNCTION("IMPORTRANGE(""https://docs.google.com/spreadsheets/d/1MeEWN-I1oV_STSDYn1IFDPWt_1FKiwhDph83XaGc0o0/edit?usp=sharing"",""งบพรบ!EP40"")"),850000)</f>
        <v>850000</v>
      </c>
      <c r="M336" s="870">
        <f ca="1">IFERROR(__xludf.DUMMYFUNCTION("IMPORTRANGE(""https://docs.google.com/spreadsheets/d/1MeEWN-I1oV_STSDYn1IFDPWt_1FKiwhDph83XaGc0o0/edit?usp=sharing"",""งบพรบ!ES40"")"),850000)</f>
        <v>850000</v>
      </c>
      <c r="N336" s="870">
        <f ca="1">IFERROR(__xludf.DUMMYFUNCTION("IMPORTRANGE(""https://docs.google.com/spreadsheets/d/1MeEWN-I1oV_STSDYn1IFDPWt_1FKiwhDph83XaGc0o0/edit?usp=sharing"",""งบพรบ!EU40"")"),740000)</f>
        <v>740000</v>
      </c>
      <c r="O336" s="870">
        <f t="shared" ca="1" si="150"/>
        <v>87.058823529411768</v>
      </c>
      <c r="P336" s="870">
        <f t="shared" ca="1" si="151"/>
        <v>87.058823529411768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IFERROR(__xludf.DUMMYFUNCTION("IMPORTRANGE(""https://docs.google.com/spreadsheets/d/1QqKyyYR6Q21VydFLVH3TRQUabQu_ym0Zz7PgGX0-kHA/edit?usp=sharing"",""แผน!EG40"")"),2300)</f>
        <v>2300</v>
      </c>
      <c r="J338" s="863">
        <f ca="1">IFERROR(__xludf.DUMMYFUNCTION("IMPORTRANGE(""https://docs.google.com/spreadsheets/d/1kVcqe37tkHyjCSG3S0O1AXqVkqjo8mSIZil3BcpIysc/edit?usp=sharing"",""ศูนย์!D40"")"),2000)</f>
        <v>2000</v>
      </c>
      <c r="K338" s="864">
        <f ca="1">IF(I338&gt;0,J338*100/I338,0)</f>
        <v>86.956521739130437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IFERROR(__xludf.DUMMYFUNCTION("IMPORTRANGE(""https://docs.google.com/spreadsheets/d/1QqKyyYR6Q21VydFLVH3TRQUabQu_ym0Zz7PgGX0-kHA/edit?usp=sharing"",""แผน!EH40"")"),6)</f>
        <v>6</v>
      </c>
      <c r="J340" s="863">
        <f ca="1">IFERROR(__xludf.DUMMYFUNCTION("IMPORTRANGE(""https://docs.google.com/spreadsheets/d/1kVcqe37tkHyjCSG3S0O1AXqVkqjo8mSIZil3BcpIysc/edit?usp=sharing"",""ศูนย์!E40"")"),2)</f>
        <v>2</v>
      </c>
      <c r="K340" s="864">
        <f ca="1">IF(I340&gt;0,J340*100/I340,0)</f>
        <v>33.333333333333336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IFERROR(__xludf.DUMMYFUNCTION("IMPORTRANGE(""https://docs.google.com/spreadsheets/d/1kVcqe37tkHyjCSG3S0O1AXqVkqjo8mSIZil3BcpIysc/edit?usp=sharing"",""ศูนย์!F40"")"),282)</f>
        <v>282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IFERROR(__xludf.DUMMYFUNCTION("IMPORTRANGE(""https://docs.google.com/spreadsheets/d/1kVcqe37tkHyjCSG3S0O1AXqVkqjo8mSIZil3BcpIysc/edit?usp=sharing"",""ศูนย์!G40"")"),0)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IFERROR(__xludf.DUMMYFUNCTION("IMPORTRANGE(""https://docs.google.com/spreadsheets/d/1kVcqe37tkHyjCSG3S0O1AXqVkqjo8mSIZil3BcpIysc/edit?usp=sharing"",""ศูนย์!H40"")"),0)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714860</v>
      </c>
      <c r="M345" s="972">
        <f t="shared" ca="1" si="155"/>
        <v>602600</v>
      </c>
      <c r="N345" s="972">
        <f t="shared" ca="1" si="155"/>
        <v>413269</v>
      </c>
      <c r="O345" s="972">
        <f t="shared" ref="O345:O353" ca="1" si="156">IF(L345&gt;0,N345*100/L345,0)</f>
        <v>57.811179811431607</v>
      </c>
      <c r="P345" s="972">
        <f t="shared" ref="P345:P353" ca="1" si="157">IF(M345&gt;0,N345*100/M345,0)</f>
        <v>68.580982409558572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714860</v>
      </c>
      <c r="M347" s="870">
        <f t="shared" ca="1" si="158"/>
        <v>602600</v>
      </c>
      <c r="N347" s="870">
        <f t="shared" ca="1" si="158"/>
        <v>413269</v>
      </c>
      <c r="O347" s="870">
        <f t="shared" ca="1" si="156"/>
        <v>57.811179811431607</v>
      </c>
      <c r="P347" s="870">
        <f t="shared" ca="1" si="157"/>
        <v>68.580982409558572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563260</v>
      </c>
      <c r="M348" s="864">
        <f t="shared" ca="1" si="159"/>
        <v>451000</v>
      </c>
      <c r="N348" s="864">
        <f t="shared" ca="1" si="159"/>
        <v>261669</v>
      </c>
      <c r="O348" s="864">
        <f t="shared" ca="1" si="156"/>
        <v>46.456165891417818</v>
      </c>
      <c r="P348" s="864">
        <f t="shared" ca="1" si="157"/>
        <v>58.019733924611977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IFERROR(__xludf.DUMMYFUNCTION("IMPORTRANGE(""https://docs.google.com/spreadsheets/d/1MeEWN-I1oV_STSDYn1IFDPWt_1FKiwhDph83XaGc0o0/edit?usp=sharing"",""งบพรบ!EW40"")"),563260)</f>
        <v>563260</v>
      </c>
      <c r="M350" s="870">
        <f ca="1">IFERROR(__xludf.DUMMYFUNCTION("IMPORTRANGE(""https://docs.google.com/spreadsheets/d/1MeEWN-I1oV_STSDYn1IFDPWt_1FKiwhDph83XaGc0o0/edit?usp=sharing"",""งบพรบ!FB40"")"),451000)</f>
        <v>451000</v>
      </c>
      <c r="N350" s="870">
        <f ca="1">IFERROR(__xludf.DUMMYFUNCTION("IMPORTRANGE(""https://docs.google.com/spreadsheets/d/1MeEWN-I1oV_STSDYn1IFDPWt_1FKiwhDph83XaGc0o0/edit?usp=sharing"",""งบพรบ!FD40"")"),261669)</f>
        <v>261669</v>
      </c>
      <c r="O350" s="870">
        <f t="shared" ca="1" si="156"/>
        <v>46.456165891417818</v>
      </c>
      <c r="P350" s="870">
        <f t="shared" ca="1" si="157"/>
        <v>58.019733924611977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151600</v>
      </c>
      <c r="M351" s="864">
        <f t="shared" ca="1" si="160"/>
        <v>151600</v>
      </c>
      <c r="N351" s="864">
        <f t="shared" ca="1" si="160"/>
        <v>151600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IFERROR(__xludf.DUMMYFUNCTION("IMPORTRANGE(""https://docs.google.com/spreadsheets/d/1MeEWN-I1oV_STSDYn1IFDPWt_1FKiwhDph83XaGc0o0/edit?usp=sharing"",""งบพรบ!EZ40"")"),151600)</f>
        <v>151600</v>
      </c>
      <c r="M353" s="870">
        <f ca="1">IFERROR(__xludf.DUMMYFUNCTION("IMPORTRANGE(""https://docs.google.com/spreadsheets/d/1MeEWN-I1oV_STSDYn1IFDPWt_1FKiwhDph83XaGc0o0/edit?usp=sharing"",""งบพรบ!FC40"")"),151600)</f>
        <v>151600</v>
      </c>
      <c r="N353" s="870">
        <f ca="1">IFERROR(__xludf.DUMMYFUNCTION("IMPORTRANGE(""https://docs.google.com/spreadsheets/d/1MeEWN-I1oV_STSDYn1IFDPWt_1FKiwhDph83XaGc0o0/edit?usp=sharing"",""งบพรบ!FE40"")"),151600)</f>
        <v>151600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IFERROR(__xludf.DUMMYFUNCTION("IMPORTRANGE(""https://docs.google.com/spreadsheets/d/1QqKyyYR6Q21VydFLVH3TRQUabQu_ym0Zz7PgGX0-kHA/edit?usp=sharing"",""แผน!EP40"")"),224)</f>
        <v>224</v>
      </c>
      <c r="J355" s="1186">
        <f ca="1">J362</f>
        <v>93</v>
      </c>
      <c r="K355" s="1187">
        <f ca="1">IF(I355&gt;0,J355*100/I355,0)</f>
        <v>41.517857142857146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IFERROR(__xludf.DUMMYFUNCTION("IMPORTRANGE(""https://docs.google.com/spreadsheets/d/1XWAQStnk-4SwqDmLtmXYiTMKHgktTP8We1SCoS47DrQ/edit?usp=sharing"",""จัดที่ดิน!W40"")"),178)</f>
        <v>178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IFERROR(__xludf.DUMMYFUNCTION("IMPORTRANGE(""https://docs.google.com/spreadsheets/d/1QqKyyYR6Q21VydFLVH3TRQUabQu_ym0Zz7PgGX0-kHA/edit?usp=sharing"",""แผน!EO40"")"),2240)</f>
        <v>2240</v>
      </c>
      <c r="J359" s="863">
        <f ca="1">IFERROR(__xludf.DUMMYFUNCTION("IMPORTRANGE(""https://docs.google.com/spreadsheets/d/1XWAQStnk-4SwqDmLtmXYiTMKHgktTP8We1SCoS47DrQ/edit?usp=sharing"",""จัดที่ดิน!X40"")"),1087.03)</f>
        <v>1087.03</v>
      </c>
      <c r="K359" s="864">
        <f t="shared" ca="1" si="161"/>
        <v>48.528125000000003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IFERROR(__xludf.DUMMYFUNCTION("IMPORTRANGE(""https://docs.google.com/spreadsheets/d/1QqKyyYR6Q21VydFLVH3TRQUabQu_ym0Zz7PgGX0-kHA/edit?usp=sharing"",""แผน!EP40"")"),224)</f>
        <v>224</v>
      </c>
      <c r="J360" s="863">
        <f ca="1">IFERROR(__xludf.DUMMYFUNCTION("IMPORTRANGE(""https://docs.google.com/spreadsheets/d/1XWAQStnk-4SwqDmLtmXYiTMKHgktTP8We1SCoS47DrQ/edit?usp=sharing"",""จัดที่ดิน!Y40"")"),155)</f>
        <v>155</v>
      </c>
      <c r="K360" s="864">
        <f t="shared" ca="1" si="161"/>
        <v>69.196428571428569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IFERROR(__xludf.DUMMYFUNCTION("IMPORTRANGE(""https://docs.google.com/spreadsheets/d/1XWAQStnk-4SwqDmLtmXYiTMKHgktTP8We1SCoS47DrQ/edit?usp=sharing"",""จัดที่ดิน!Z40"")"),939.6)</f>
        <v>939.6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IFERROR(__xludf.DUMMYFUNCTION("IMPORTRANGE(""https://docs.google.com/spreadsheets/d/1QqKyyYR6Q21VydFLVH3TRQUabQu_ym0Zz7PgGX0-kHA/edit?usp=sharing"",""แผน!EP40"")"),224)</f>
        <v>224</v>
      </c>
      <c r="J362" s="863">
        <f ca="1">IFERROR(__xludf.DUMMYFUNCTION("IMPORTRANGE(""https://docs.google.com/spreadsheets/d/1XWAQStnk-4SwqDmLtmXYiTMKHgktTP8We1SCoS47DrQ/edit?usp=sharing"",""จัดที่ดิน!AA40"")"),93)</f>
        <v>93</v>
      </c>
      <c r="K362" s="864">
        <f t="shared" ca="1" si="161"/>
        <v>41.517857142857146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IFERROR(__xludf.DUMMYFUNCTION("IMPORTRANGE(""https://docs.google.com/spreadsheets/d/1XWAQStnk-4SwqDmLtmXYiTMKHgktTP8We1SCoS47DrQ/edit?usp=sharing"",""จัดที่ดิน!AB40"")"),451.24)</f>
        <v>451.24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374</v>
      </c>
      <c r="J364" s="1199">
        <f t="shared" ca="1" si="162"/>
        <v>215</v>
      </c>
      <c r="K364" s="1200">
        <f t="shared" ca="1" si="161"/>
        <v>57.486631016042779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IFERROR(__xludf.DUMMYFUNCTION("IMPORTRANGE(""https://docs.google.com/spreadsheets/d/1QqKyyYR6Q21VydFLVH3TRQUabQu_ym0Zz7PgGX0-kHA/edit?usp=sharing"",""แผน!EJ40"")"),24)</f>
        <v>24</v>
      </c>
      <c r="J365" s="1207">
        <f ca="1">J372</f>
        <v>16</v>
      </c>
      <c r="K365" s="1208">
        <f t="shared" ca="1" si="161"/>
        <v>66.666666666666671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IFERROR(__xludf.DUMMYFUNCTION("IMPORTRANGE(""https://docs.google.com/spreadsheets/d/1XWAQStnk-4SwqDmLtmXYiTMKHgktTP8We1SCoS47DrQ/edit?usp=sharing"",""จัดที่ดิน!E40"")"),26)</f>
        <v>26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IFERROR(__xludf.DUMMYFUNCTION("IMPORTRANGE(""https://docs.google.com/spreadsheets/d/1QqKyyYR6Q21VydFLVH3TRQUabQu_ym0Zz7PgGX0-kHA/edit?usp=sharing"",""แผน!EI40"")"),240)</f>
        <v>240</v>
      </c>
      <c r="J369" s="863">
        <f ca="1">IFERROR(__xludf.DUMMYFUNCTION("IMPORTRANGE(""https://docs.google.com/spreadsheets/d/1XWAQStnk-4SwqDmLtmXYiTMKHgktTP8We1SCoS47DrQ/edit?usp=sharing"",""จัดที่ดิน!F40"")"),71.3)</f>
        <v>71.3</v>
      </c>
      <c r="K369" s="864">
        <f t="shared" ca="1" si="163"/>
        <v>29.708333333333332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IFERROR(__xludf.DUMMYFUNCTION("IMPORTRANGE(""https://docs.google.com/spreadsheets/d/1QqKyyYR6Q21VydFLVH3TRQUabQu_ym0Zz7PgGX0-kHA/edit?usp=sharing"",""แผน!EJ40"")"),24)</f>
        <v>24</v>
      </c>
      <c r="J370" s="863">
        <f ca="1">IFERROR(__xludf.DUMMYFUNCTION("IMPORTRANGE(""https://docs.google.com/spreadsheets/d/1XWAQStnk-4SwqDmLtmXYiTMKHgktTP8We1SCoS47DrQ/edit?usp=sharing"",""จัดที่ดิน!G40"")"),16)</f>
        <v>16</v>
      </c>
      <c r="K370" s="864">
        <f t="shared" ca="1" si="163"/>
        <v>66.666666666666671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IFERROR(__xludf.DUMMYFUNCTION("IMPORTRANGE(""https://docs.google.com/spreadsheets/d/1XWAQStnk-4SwqDmLtmXYiTMKHgktTP8We1SCoS47DrQ/edit?usp=sharing"",""จัดที่ดิน!H40"")"),33.13)</f>
        <v>33.130000000000003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IFERROR(__xludf.DUMMYFUNCTION("IMPORTRANGE(""https://docs.google.com/spreadsheets/d/1QqKyyYR6Q21VydFLVH3TRQUabQu_ym0Zz7PgGX0-kHA/edit?usp=sharing"",""แผน!EJ40"")"),24)</f>
        <v>24</v>
      </c>
      <c r="J372" s="863">
        <f ca="1">IFERROR(__xludf.DUMMYFUNCTION("IMPORTRANGE(""https://docs.google.com/spreadsheets/d/1XWAQStnk-4SwqDmLtmXYiTMKHgktTP8We1SCoS47DrQ/edit?usp=sharing"",""จัดที่ดิน!I40"")"),16)</f>
        <v>16</v>
      </c>
      <c r="K372" s="864">
        <f t="shared" ca="1" si="163"/>
        <v>66.666666666666671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IFERROR(__xludf.DUMMYFUNCTION("IMPORTRANGE(""https://docs.google.com/spreadsheets/d/1XWAQStnk-4SwqDmLtmXYiTMKHgktTP8We1SCoS47DrQ/edit?usp=sharing"",""จัดที่ดิน!J40"")"),33.13)</f>
        <v>33.130000000000003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IFERROR(__xludf.DUMMYFUNCTION("IMPORTRANGE(""https://docs.google.com/spreadsheets/d/1QqKyyYR6Q21VydFLVH3TRQUabQu_ym0Zz7PgGX0-kHA/edit?usp=sharing"",""แผน!EU40"")"),350)</f>
        <v>350</v>
      </c>
      <c r="J374" s="1207">
        <f ca="1">J381</f>
        <v>199</v>
      </c>
      <c r="K374" s="1208">
        <f t="shared" ca="1" si="163"/>
        <v>56.857142857142854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IFERROR(__xludf.DUMMYFUNCTION("IMPORTRANGE(""https://docs.google.com/spreadsheets/d/1XWAQStnk-4SwqDmLtmXYiTMKHgktTP8We1SCoS47DrQ/edit?usp=sharing"",""จัดที่ดิน!AH40"")"),152)</f>
        <v>152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IFERROR(__xludf.DUMMYFUNCTION("IMPORTRANGE(""https://docs.google.com/spreadsheets/d/1QqKyyYR6Q21VydFLVH3TRQUabQu_ym0Zz7PgGX0-kHA/edit?usp=sharing"",""แผน!ET40"")"),2000)</f>
        <v>2000</v>
      </c>
      <c r="J378" s="863">
        <f ca="1">IFERROR(__xludf.DUMMYFUNCTION("IMPORTRANGE(""https://docs.google.com/spreadsheets/d/1XWAQStnk-4SwqDmLtmXYiTMKHgktTP8We1SCoS47DrQ/edit?usp=sharing"",""จัดที่ดิน!AI40"")"),1015.73)</f>
        <v>1015.73</v>
      </c>
      <c r="K378" s="864">
        <f t="shared" ca="1" si="164"/>
        <v>50.786499999999997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IFERROR(__xludf.DUMMYFUNCTION("IMPORTRANGE(""https://docs.google.com/spreadsheets/d/1QqKyyYR6Q21VydFLVH3TRQUabQu_ym0Zz7PgGX0-kHA/edit?usp=sharing"",""แผน!EU40"")"),350)</f>
        <v>350</v>
      </c>
      <c r="J379" s="863">
        <f ca="1">IFERROR(__xludf.DUMMYFUNCTION("IMPORTRANGE(""https://docs.google.com/spreadsheets/d/1XWAQStnk-4SwqDmLtmXYiTMKHgktTP8We1SCoS47DrQ/edit?usp=sharing"",""จัดที่ดิน!AJ40"")"),262)</f>
        <v>262</v>
      </c>
      <c r="K379" s="864">
        <f t="shared" ca="1" si="164"/>
        <v>74.857142857142861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IFERROR(__xludf.DUMMYFUNCTION("IMPORTRANGE(""https://docs.google.com/spreadsheets/d/1XWAQStnk-4SwqDmLtmXYiTMKHgktTP8We1SCoS47DrQ/edit?usp=sharing"",""จัดที่ดิน!AK40"")"),2239.16)</f>
        <v>2239.16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IFERROR(__xludf.DUMMYFUNCTION("IMPORTRANGE(""https://docs.google.com/spreadsheets/d/1QqKyyYR6Q21VydFLVH3TRQUabQu_ym0Zz7PgGX0-kHA/edit?usp=sharing"",""แผน!EU40"")"),350)</f>
        <v>350</v>
      </c>
      <c r="J381" s="863">
        <f ca="1">IFERROR(__xludf.DUMMYFUNCTION("IMPORTRANGE(""https://docs.google.com/spreadsheets/d/1XWAQStnk-4SwqDmLtmXYiTMKHgktTP8We1SCoS47DrQ/edit?usp=sharing"",""จัดที่ดิน!AL40"")"),199)</f>
        <v>199</v>
      </c>
      <c r="K381" s="864">
        <f t="shared" ca="1" si="164"/>
        <v>56.857142857142854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IFERROR(__xludf.DUMMYFUNCTION("IMPORTRANGE(""https://docs.google.com/spreadsheets/d/1XWAQStnk-4SwqDmLtmXYiTMKHgktTP8We1SCoS47DrQ/edit?usp=sharing"",""จัดที่ดิน!AM40"")"),1736.83)</f>
        <v>1736.83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IFERROR(__xludf.DUMMYFUNCTION("IMPORTRANGE(""https://docs.google.com/spreadsheets/d/1QqKyyYR6Q21VydFLVH3TRQUabQu_ym0Zz7PgGX0-kHA/edit?usp=sharing"",""แผน!EW40"")"),80)</f>
        <v>80</v>
      </c>
      <c r="J385" s="1117">
        <f ca="1">IFERROR(__xludf.DUMMYFUNCTION("IMPORTRANGE(""https://docs.google.com/spreadsheets/d/1XWAQStnk-4SwqDmLtmXYiTMKHgktTP8We1SCoS47DrQ/edit?usp=sharing"",""จัดที่ดิน!AP40"")"),0)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IFERROR(__xludf.DUMMYFUNCTION("IMPORTRANGE(""https://docs.google.com/spreadsheets/d/1MeEWN-I1oV_STSDYn1IFDPWt_1FKiwhDph83XaGc0o0/edit?usp=sharing"",""งบพรบ!FG40"")"),0)</f>
        <v>0</v>
      </c>
      <c r="M394" s="870">
        <f ca="1">IFERROR(__xludf.DUMMYFUNCTION("IMPORTRANGE(""https://docs.google.com/spreadsheets/d/1MeEWN-I1oV_STSDYn1IFDPWt_1FKiwhDph83XaGc0o0/edit?usp=sharing"",""งบพรบ!FL40"")"),0)</f>
        <v>0</v>
      </c>
      <c r="N394" s="870">
        <f ca="1">IFERROR(__xludf.DUMMYFUNCTION("IMPORTRANGE(""https://docs.google.com/spreadsheets/d/1MeEWN-I1oV_STSDYn1IFDPWt_1FKiwhDph83XaGc0o0/edit?usp=sharing"",""งบพรบ!FN40"")"),0)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IFERROR(__xludf.DUMMYFUNCTION("IMPORTRANGE(""https://docs.google.com/spreadsheets/d/1MeEWN-I1oV_STSDYn1IFDPWt_1FKiwhDph83XaGc0o0/edit?usp=sharing"",""งบพรบ!FJ40"")"),0)</f>
        <v>0</v>
      </c>
      <c r="M397" s="870">
        <f ca="1">IFERROR(__xludf.DUMMYFUNCTION("IMPORTRANGE(""https://docs.google.com/spreadsheets/d/1MeEWN-I1oV_STSDYn1IFDPWt_1FKiwhDph83XaGc0o0/edit?usp=sharing"",""งบพรบ!FM40"")"),0)</f>
        <v>0</v>
      </c>
      <c r="N397" s="870">
        <f ca="1">IFERROR(__xludf.DUMMYFUNCTION("IMPORTRANGE(""https://docs.google.com/spreadsheets/d/1MeEWN-I1oV_STSDYn1IFDPWt_1FKiwhDph83XaGc0o0/edit?usp=sharing"",""งบพรบ!FO40"")"),0)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IFERROR(__xludf.DUMMYFUNCTION("IMPORTRANGE(""https://docs.google.com/spreadsheets/d/1MeEWN-I1oV_STSDYn1IFDPWt_1FKiwhDph83XaGc0o0/edit?usp=sharing"",""งบพรบ!FQ40"")"),0)</f>
        <v>0</v>
      </c>
      <c r="M407" s="870">
        <f ca="1">IFERROR(__xludf.DUMMYFUNCTION("IMPORTRANGE(""https://docs.google.com/spreadsheets/d/1MeEWN-I1oV_STSDYn1IFDPWt_1FKiwhDph83XaGc0o0/edit?usp=sharing"",""งบพรบ!FV40"")"),0)</f>
        <v>0</v>
      </c>
      <c r="N407" s="870">
        <f ca="1">IFERROR(__xludf.DUMMYFUNCTION("IMPORTRANGE(""https://docs.google.com/spreadsheets/d/1MeEWN-I1oV_STSDYn1IFDPWt_1FKiwhDph83XaGc0o0/edit?usp=sharing"",""งบพรบ!FX40"")"),0)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IFERROR(__xludf.DUMMYFUNCTION("IMPORTRANGE(""https://docs.google.com/spreadsheets/d/1MeEWN-I1oV_STSDYn1IFDPWt_1FKiwhDph83XaGc0o0/edit?usp=sharing"",""งบพรบ!FT40"")"),0)</f>
        <v>0</v>
      </c>
      <c r="M410" s="870">
        <f ca="1">IFERROR(__xludf.DUMMYFUNCTION("IMPORTRANGE(""https://docs.google.com/spreadsheets/d/1MeEWN-I1oV_STSDYn1IFDPWt_1FKiwhDph83XaGc0o0/edit?usp=sharing"",""งบพรบ!FW40"")"),0)</f>
        <v>0</v>
      </c>
      <c r="N410" s="870">
        <f ca="1">IFERROR(__xludf.DUMMYFUNCTION("IMPORTRANGE(""https://docs.google.com/spreadsheets/d/1MeEWN-I1oV_STSDYn1IFDPWt_1FKiwhDph83XaGc0o0/edit?usp=sharing"",""งบพรบ!FY40"")"),0)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2382589</v>
      </c>
      <c r="M414" s="1257">
        <f t="shared" si="181"/>
        <v>0</v>
      </c>
      <c r="N414" s="1257">
        <f t="shared" si="181"/>
        <v>816481</v>
      </c>
      <c r="O414" s="1257">
        <f ca="1">IF(L414&gt;0,N414*100/L414,0)</f>
        <v>34.268646417825316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35</v>
      </c>
      <c r="J417" s="1270">
        <f t="shared" ca="1" si="182"/>
        <v>35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115060</v>
      </c>
      <c r="M419" s="972">
        <f t="shared" si="184"/>
        <v>0</v>
      </c>
      <c r="N419" s="972">
        <f t="shared" si="184"/>
        <v>105050</v>
      </c>
      <c r="O419" s="972">
        <f t="shared" ref="O419:O424" ca="1" si="185">IF(L419&gt;0,N419*100/L419,0)</f>
        <v>91.300191204588913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115060</v>
      </c>
      <c r="M421" s="870">
        <f t="shared" si="187"/>
        <v>0</v>
      </c>
      <c r="N421" s="870">
        <f t="shared" si="187"/>
        <v>105050</v>
      </c>
      <c r="O421" s="870">
        <f t="shared" ca="1" si="185"/>
        <v>91.300191204588913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115060</v>
      </c>
      <c r="M422" s="864">
        <f t="shared" si="188"/>
        <v>0</v>
      </c>
      <c r="N422" s="864">
        <f t="shared" si="188"/>
        <v>105050</v>
      </c>
      <c r="O422" s="864">
        <f t="shared" ca="1" si="185"/>
        <v>91.300191204588913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IFERROR(__xludf.DUMMYFUNCTION("IMPORTRANGE(""https://docs.google.com/spreadsheets/d/1QqKyyYR6Q21VydFLVH3TRQUabQu_ym0Zz7PgGX0-kHA/edit?usp=sharing"",""แผน!EY40"")"),115060)</f>
        <v>115060</v>
      </c>
      <c r="M424" s="870">
        <v>0</v>
      </c>
      <c r="N424" s="870">
        <f>N425+N426+N427+N428</f>
        <v>105050</v>
      </c>
      <c r="O424" s="870">
        <f t="shared" ca="1" si="185"/>
        <v>91.300191204588913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84800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20250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IFERROR(__xludf.DUMMYFUNCTION("IMPORTRANGE(""https://docs.google.com/spreadsheets/d/1QqKyyYR6Q21VydFLVH3TRQUabQu_ym0Zz7PgGX0-kHA/edit?usp=sharing"",""แผน!FB40"")"),0)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35</v>
      </c>
      <c r="J433" s="999">
        <f ca="1">IF(AND(J435=I435,J437=I437,J439=I439),I437+I439,IF(AND(J435=I437,J437=I437),I437,IF(AND(J435=I439,J439=I439),I439,0)))</f>
        <v>35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IFERROR(__xludf.DUMMYFUNCTION("IMPORTRANGE(""https://docs.google.com/spreadsheets/d/1QqKyyYR6Q21VydFLVH3TRQUabQu_ym0Zz7PgGX0-kHA/edit?usp=sharing"",""แผน!FC40"")"),35)</f>
        <v>35</v>
      </c>
      <c r="J435" s="578">
        <v>35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IFERROR(__xludf.DUMMYFUNCTION("IMPORTRANGE(""https://docs.google.com/spreadsheets/d/1QqKyyYR6Q21VydFLVH3TRQUabQu_ym0Zz7PgGX0-kHA/edit?usp=sharing"",""แผน!FD40"")"),0)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IFERROR(__xludf.DUMMYFUNCTION("IMPORTRANGE(""https://docs.google.com/spreadsheets/d/1QqKyyYR6Q21VydFLVH3TRQUabQu_ym0Zz7PgGX0-kHA/edit?usp=sharing"",""แผน!FE40"")"),0)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IFERROR(__xludf.DUMMYFUNCTION("IMPORTRANGE(""https://docs.google.com/spreadsheets/d/1QqKyyYR6Q21VydFLVH3TRQUabQu_ym0Zz7PgGX0-kHA/edit?usp=sharing"",""แผน!FF40"")"),35)</f>
        <v>35</v>
      </c>
      <c r="J439" s="578">
        <v>35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IFERROR(__xludf.DUMMYFUNCTION("IMPORTRANGE(""https://docs.google.com/spreadsheets/d/1QqKyyYR6Q21VydFLVH3TRQUabQu_ym0Zz7PgGX0-kHA/edit?usp=sharing"",""แผน!FG40"")"),1)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IFERROR(__xludf.DUMMYFUNCTION("IMPORTRANGE(""https://docs.google.com/spreadsheets/d/1QqKyyYR6Q21VydFLVH3TRQUabQu_ym0Zz7PgGX0-kHA/edit?usp=sharing"",""แผน!FH40"")"),0)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50</v>
      </c>
      <c r="J442" s="1285">
        <f t="shared" si="195"/>
        <v>50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120</v>
      </c>
      <c r="J443" s="1270">
        <f t="shared" si="196"/>
        <v>120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372400</v>
      </c>
      <c r="M444" s="1000">
        <f t="shared" si="197"/>
        <v>0</v>
      </c>
      <c r="N444" s="1000">
        <f t="shared" si="197"/>
        <v>111380</v>
      </c>
      <c r="O444" s="1000">
        <f t="shared" ref="O444:O449" ca="1" si="198">IF(L444&gt;0,N444*100/L444,0)</f>
        <v>29.908700322234157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372400</v>
      </c>
      <c r="M446" s="870">
        <f t="shared" si="200"/>
        <v>0</v>
      </c>
      <c r="N446" s="870">
        <f t="shared" si="200"/>
        <v>111380</v>
      </c>
      <c r="O446" s="870">
        <f t="shared" ca="1" si="198"/>
        <v>29.908700322234157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372400</v>
      </c>
      <c r="M447" s="864">
        <f t="shared" si="201"/>
        <v>0</v>
      </c>
      <c r="N447" s="864">
        <f t="shared" si="201"/>
        <v>111380</v>
      </c>
      <c r="O447" s="864">
        <f t="shared" ca="1" si="198"/>
        <v>29.908700322234157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IFERROR(__xludf.DUMMYFUNCTION("IMPORTRANGE(""https://docs.google.com/spreadsheets/d/1QqKyyYR6Q21VydFLVH3TRQUabQu_ym0Zz7PgGX0-kHA/edit?usp=sharing"",""แผน!FJ40"")"),372400)</f>
        <v>372400</v>
      </c>
      <c r="M449" s="870">
        <v>0</v>
      </c>
      <c r="N449" s="870">
        <f>N450+N451+N452+N453</f>
        <v>111380</v>
      </c>
      <c r="O449" s="870">
        <f t="shared" ca="1" si="198"/>
        <v>29.908700322234157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38110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65000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8270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IFERROR(__xludf.DUMMYFUNCTION("IMPORTRANGE(""https://docs.google.com/spreadsheets/d/1QqKyyYR6Q21VydFLVH3TRQUabQu_ym0Zz7PgGX0-kHA/edit?usp=sharing"",""แผน!FM40"")"),0)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IFERROR(__xludf.DUMMYFUNCTION("IMPORTRANGE(""https://docs.google.com/spreadsheets/d/1QqKyyYR6Q21VydFLVH3TRQUabQu_ym0Zz7PgGX0-kHA/edit?usp=sharing"",""แผน!FN40"")"),50)</f>
        <v>50</v>
      </c>
      <c r="J460" s="992">
        <v>50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IFERROR(__xludf.DUMMYFUNCTION("IMPORTRANGE(""https://docs.google.com/spreadsheets/d/1QqKyyYR6Q21VydFLVH3TRQUabQu_ym0Zz7PgGX0-kHA/edit?usp=sharing"",""แผน!FO40"")"),120)</f>
        <v>120</v>
      </c>
      <c r="J462" s="992">
        <v>120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IFERROR(__xludf.DUMMYFUNCTION("IMPORTRANGE(""https://docs.google.com/spreadsheets/d/1QqKyyYR6Q21VydFLVH3TRQUabQu_ym0Zz7PgGX0-kHA/edit?usp=sharing"",""แผน!FO40"")"),120)</f>
        <v>120</v>
      </c>
      <c r="J463" s="992"/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IFERROR(__xludf.DUMMYFUNCTION("IMPORTRANGE(""https://docs.google.com/spreadsheets/d/1QqKyyYR6Q21VydFLVH3TRQUabQu_ym0Zz7PgGX0-kHA/edit?usp=sharing"",""แผน!FN40"")"),50)</f>
        <v>50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IFERROR(__xludf.DUMMYFUNCTION("IMPORTRANGE(""https://docs.google.com/spreadsheets/d/1QqKyyYR6Q21VydFLVH3TRQUabQu_ym0Zz7PgGX0-kHA/edit?usp=sharing"",""แผน!FX40"")"),131)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IFERROR(__xludf.DUMMYFUNCTION("IMPORTRANGE(""https://docs.google.com/spreadsheets/d/1QqKyyYR6Q21VydFLVH3TRQUabQu_ym0Zz7PgGX0-kHA/edit?usp=sharing"",""แผน!FW40"")"),1300)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1172838</v>
      </c>
      <c r="M467" s="1000">
        <f t="shared" si="206"/>
        <v>0</v>
      </c>
      <c r="N467" s="1000">
        <f t="shared" si="206"/>
        <v>234193</v>
      </c>
      <c r="O467" s="1000">
        <f t="shared" ref="O467:O472" ca="1" si="207">IF(L467&gt;0,N467*100/L467,0)</f>
        <v>19.968060380035435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1172838</v>
      </c>
      <c r="M469" s="870">
        <f t="shared" si="209"/>
        <v>0</v>
      </c>
      <c r="N469" s="870">
        <f t="shared" si="209"/>
        <v>234193</v>
      </c>
      <c r="O469" s="870">
        <f t="shared" ca="1" si="207"/>
        <v>19.968060380035435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1172838</v>
      </c>
      <c r="M470" s="864">
        <f t="shared" si="210"/>
        <v>0</v>
      </c>
      <c r="N470" s="864">
        <f t="shared" si="210"/>
        <v>234193</v>
      </c>
      <c r="O470" s="864">
        <f t="shared" ca="1" si="207"/>
        <v>19.968060380035435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IFERROR(__xludf.DUMMYFUNCTION("IMPORTRANGE(""https://docs.google.com/spreadsheets/d/1QqKyyYR6Q21VydFLVH3TRQUabQu_ym0Zz7PgGX0-kHA/edit?usp=sharing"",""แผน!FS40"")"),1172838)</f>
        <v>1172838</v>
      </c>
      <c r="M472" s="870">
        <v>0</v>
      </c>
      <c r="N472" s="870">
        <f>N473+N474+N475+N476</f>
        <v>234193</v>
      </c>
      <c r="O472" s="870">
        <f t="shared" ca="1" si="207"/>
        <v>19.968060380035435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142461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64567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24965+2200</f>
        <v>27165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IFERROR(__xludf.DUMMYFUNCTION("IMPORTRANGE(""https://docs.google.com/spreadsheets/d/1QqKyyYR6Q21VydFLVH3TRQUabQu_ym0Zz7PgGX0-kHA/edit?usp=sharing"",""แผน!FV40"")"),0)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IFERROR(__xludf.DUMMYFUNCTION("IMPORTRANGE(""https://docs.google.com/spreadsheets/d/1QqKyyYR6Q21VydFLVH3TRQUabQu_ym0Zz7PgGX0-kHA/edit?usp=sharing"",""แผน!FY40"")"),1170)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IFERROR(__xludf.DUMMYFUNCTION("IMPORTRANGE(""https://docs.google.com/spreadsheets/d/1QqKyyYR6Q21VydFLVH3TRQUabQu_ym0Zz7PgGX0-kHA/edit?usp=sharing"",""แผน!FZ40"")"),117)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IFERROR(__xludf.DUMMYFUNCTION("IMPORTRANGE(""https://docs.google.com/spreadsheets/d/1QqKyyYR6Q21VydFLVH3TRQUabQu_ym0Zz7PgGX0-kHA/edit?usp=sharing"",""แผน!GA40"")"),130)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IFERROR(__xludf.DUMMYFUNCTION("IMPORTRANGE(""https://docs.google.com/spreadsheets/d/1QqKyyYR6Q21VydFLVH3TRQUabQu_ym0Zz7PgGX0-kHA/edit?usp=sharing"",""แผน!GB40"")"),13)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IFERROR(__xludf.DUMMYFUNCTION("IMPORTRANGE(""https://docs.google.com/spreadsheets/d/1QqKyyYR6Q21VydFLVH3TRQUabQu_ym0Zz7PgGX0-kHA/edit?usp=sharing"",""แผน!GC40"")"),1)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IFERROR(__xludf.DUMMYFUNCTION("IMPORTRANGE(""https://docs.google.com/spreadsheets/d/1QqKyyYR6Q21VydFLVH3TRQUabQu_ym0Zz7PgGX0-kHA/edit?usp=sharing"",""แผน!FY40"")"),1170)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IFERROR(__xludf.DUMMYFUNCTION("IMPORTRANGE(""https://docs.google.com/spreadsheets/d/1QqKyyYR6Q21VydFLVH3TRQUabQu_ym0Zz7PgGX0-kHA/edit?usp=sharing"",""แผน!GA40"")"),130)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IFERROR(__xludf.DUMMYFUNCTION("IMPORTRANGE(""https://docs.google.com/spreadsheets/d/1QqKyyYR6Q21VydFLVH3TRQUabQu_ym0Zz7PgGX0-kHA/edit?usp=sharing"",""แผน!GQ40"")"),0)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IFERROR(__xludf.DUMMYFUNCTION("IMPORTRANGE(""https://docs.google.com/spreadsheets/d/1QqKyyYR6Q21VydFLVH3TRQUabQu_ym0Zz7PgGX0-kHA/edit?usp=sharing"",""แผน!GT40"")"),0)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IFERROR(__xludf.DUMMYFUNCTION("IMPORTRANGE(""https://docs.google.com/spreadsheets/d/1QqKyyYR6Q21VydFLVH3TRQUabQu_ym0Zz7PgGX0-kHA/edit?usp=sharing"",""แผน!GU40"")"),0)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IFERROR(__xludf.DUMMYFUNCTION("IMPORTRANGE(""https://docs.google.com/spreadsheets/d/1QqKyyYR6Q21VydFLVH3TRQUabQu_ym0Zz7PgGX0-kHA/edit?usp=sharing"",""แผน!GV40"")"),0)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IFERROR(__xludf.DUMMYFUNCTION("IMPORTRANGE(""https://docs.google.com/spreadsheets/d/1QqKyyYR6Q21VydFLVH3TRQUabQu_ym0Zz7PgGX0-kHA/edit?usp=sharing"",""แผน!GW40"")"),0)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IFERROR(__xludf.DUMMYFUNCTION("IMPORTRANGE(""https://docs.google.com/spreadsheets/d/1QqKyyYR6Q21VydFLVH3TRQUabQu_ym0Zz7PgGX0-kHA/edit?usp=sharing"",""แผน!GX40"")"),0)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IFERROR(__xludf.DUMMYFUNCTION("IMPORTRANGE(""https://docs.google.com/spreadsheets/d/1QqKyyYR6Q21VydFLVH3TRQUabQu_ym0Zz7PgGX0-kHA/edit?usp=sharing"",""แผน!GY40"")"),0)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IFERROR(__xludf.DUMMYFUNCTION("IMPORTRANGE(""https://docs.google.com/spreadsheets/d/1QqKyyYR6Q21VydFLVH3TRQUabQu_ym0Zz7PgGX0-kHA/edit?usp=sharing"",""แผน!GZ40"")"),0)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35301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338611</v>
      </c>
      <c r="M544" s="972">
        <f t="shared" si="236"/>
        <v>0</v>
      </c>
      <c r="N544" s="972">
        <f t="shared" si="236"/>
        <v>197461</v>
      </c>
      <c r="O544" s="972">
        <f t="shared" ref="O544:O549" ca="1" si="237">IF(L544&gt;0,N544*100/L544,0)</f>
        <v>58.314998626742785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338611</v>
      </c>
      <c r="M546" s="870">
        <f t="shared" si="240"/>
        <v>0</v>
      </c>
      <c r="N546" s="870">
        <f t="shared" si="240"/>
        <v>197461</v>
      </c>
      <c r="O546" s="870">
        <f t="shared" ca="1" si="237"/>
        <v>58.314998626742785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338611</v>
      </c>
      <c r="M547" s="864">
        <f t="shared" si="241"/>
        <v>0</v>
      </c>
      <c r="N547" s="864">
        <f t="shared" si="241"/>
        <v>197461</v>
      </c>
      <c r="O547" s="864">
        <f t="shared" ca="1" si="237"/>
        <v>58.314998626742785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IFERROR(__xludf.DUMMYFUNCTION("IMPORTRANGE(""https://docs.google.com/spreadsheets/d/1QqKyyYR6Q21VydFLVH3TRQUabQu_ym0Zz7PgGX0-kHA/edit?usp=sharing"",""แผน!HB40"")"),338611)</f>
        <v>338611</v>
      </c>
      <c r="M549" s="870">
        <v>0</v>
      </c>
      <c r="N549" s="870">
        <f>N550+N551+N552+N553+N554</f>
        <v>197461</v>
      </c>
      <c r="O549" s="870">
        <f t="shared" ca="1" si="237"/>
        <v>58.314998626742785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64557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116187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16717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IFERROR(__xludf.DUMMYFUNCTION("IMPORTRANGE(""https://docs.google.com/spreadsheets/d/1QqKyyYR6Q21VydFLVH3TRQUabQu_ym0Zz7PgGX0-kHA/edit?usp=sharing"",""แผน!HF40"")"),0)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35301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IFERROR(__xludf.DUMMYFUNCTION("IMPORTRANGE(""https://docs.google.com/spreadsheets/d/1QqKyyYR6Q21VydFLVH3TRQUabQu_ym0Zz7PgGX0-kHA/edit?usp=sharing"",""แผน!HH40"")"),35301)</f>
        <v>35301</v>
      </c>
      <c r="J560" s="998">
        <f t="shared" ref="J560:J561" si="247">J562+J564+J566</f>
        <v>35302.75</v>
      </c>
      <c r="K560" s="1142">
        <f t="shared" ca="1" si="246"/>
        <v>100.00495736664683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IFERROR(__xludf.DUMMYFUNCTION("IMPORTRANGE(""https://docs.google.com/spreadsheets/d/1QqKyyYR6Q21VydFLVH3TRQUabQu_ym0Zz7PgGX0-kHA/edit?usp=sharing"",""แผน!HG40"")"),5276)</f>
        <v>5276</v>
      </c>
      <c r="J561" s="998">
        <f t="shared" si="247"/>
        <v>5276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31360.240000000002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4781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2765.09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327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1177.42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168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IFERROR(__xludf.DUMMYFUNCTION("IMPORTRANGE(""https://docs.google.com/spreadsheets/d/1QqKyyYR6Q21VydFLVH3TRQUabQu_ym0Zz7PgGX0-kHA/edit?usp=sharing"",""แผน!HH40"")"),35301)</f>
        <v>35301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IFERROR(__xludf.DUMMYFUNCTION("IMPORTRANGE(""https://docs.google.com/spreadsheets/d/1QqKyyYR6Q21VydFLVH3TRQUabQu_ym0Zz7PgGX0-kHA/edit?usp=sharing"",""แผน!HG40"")"),5276)</f>
        <v>5276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IFERROR(__xludf.DUMMYFUNCTION("IMPORTRANGE(""https://docs.google.com/spreadsheets/d/1QqKyyYR6Q21VydFLVH3TRQUabQu_ym0Zz7PgGX0-kHA/edit?usp=sharing"",""แผน!HH40"")"),35301)</f>
        <v>35301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IFERROR(__xludf.DUMMYFUNCTION("IMPORTRANGE(""https://docs.google.com/spreadsheets/d/1QqKyyYR6Q21VydFLVH3TRQUabQu_ym0Zz7PgGX0-kHA/edit?usp=sharing"",""แผน!HG40"")"),5276)</f>
        <v>5276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1102.94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IFERROR(__xludf.DUMMYFUNCTION("IMPORTRANGE(""https://docs.google.com/spreadsheets/d/1QqKyyYR6Q21VydFLVH3TRQUabQu_ym0Zz7PgGX0-kHA/edit?usp=sharing"",""แผน!HJ40"")"),1102.94)</f>
        <v>1102.94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IFERROR(__xludf.DUMMYFUNCTION("IMPORTRANGE(""https://docs.google.com/spreadsheets/d/1QqKyyYR6Q21VydFLVH3TRQUabQu_ym0Zz7PgGX0-kHA/edit?usp=sharing"",""แผน!HI40"")"),115)</f>
        <v>115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IFERROR(__xludf.DUMMYFUNCTION("IMPORTRANGE(""https://docs.google.com/spreadsheets/d/1QqKyyYR6Q21VydFLVH3TRQUabQu_ym0Zz7PgGX0-kHA/edit?usp=sharing"",""แผน!HL40"")"),6)</f>
        <v>6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IFERROR(__xludf.DUMMYFUNCTION("IMPORTRANGE(""https://docs.google.com/spreadsheets/d/1QqKyyYR6Q21VydFLVH3TRQUabQu_ym0Zz7PgGX0-kHA/edit?usp=sharing"",""แผน!HK40"")"),2)</f>
        <v>2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100</v>
      </c>
      <c r="J628" s="1398">
        <f t="shared" ca="1" si="262"/>
        <v>71</v>
      </c>
      <c r="K628" s="1399">
        <f ca="1">IF(I628&gt;0,J628*100/I628,0)</f>
        <v>71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383680</v>
      </c>
      <c r="M629" s="1000">
        <f t="shared" si="263"/>
        <v>0</v>
      </c>
      <c r="N629" s="1000">
        <f t="shared" si="263"/>
        <v>168397</v>
      </c>
      <c r="O629" s="1000">
        <f t="shared" ref="O629:O634" ca="1" si="264">IF(L629&gt;0,N629*100/L629,0)</f>
        <v>43.889960383653047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383680</v>
      </c>
      <c r="M631" s="870">
        <f t="shared" si="266"/>
        <v>0</v>
      </c>
      <c r="N631" s="870">
        <f t="shared" si="266"/>
        <v>168397</v>
      </c>
      <c r="O631" s="870">
        <f t="shared" ca="1" si="264"/>
        <v>43.889960383653047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383680</v>
      </c>
      <c r="M632" s="864">
        <f t="shared" si="267"/>
        <v>0</v>
      </c>
      <c r="N632" s="864">
        <f t="shared" si="267"/>
        <v>168397</v>
      </c>
      <c r="O632" s="864">
        <f t="shared" ca="1" si="264"/>
        <v>43.889960383653047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IFERROR(__xludf.DUMMYFUNCTION("IMPORTRANGE(""https://docs.google.com/spreadsheets/d/1QqKyyYR6Q21VydFLVH3TRQUabQu_ym0Zz7PgGX0-kHA/edit?usp=sharing"",""แผน!HN40"")"),383680)</f>
        <v>383680</v>
      </c>
      <c r="M634" s="870">
        <v>0</v>
      </c>
      <c r="N634" s="870">
        <f>N635+N636+N637+N638</f>
        <v>168397</v>
      </c>
      <c r="O634" s="870">
        <f t="shared" ca="1" si="264"/>
        <v>43.889960383653047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64557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103840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IFERROR(__xludf.DUMMYFUNCTION("IMPORTRANGE(""https://docs.google.com/spreadsheets/d/1QqKyyYR6Q21VydFLVH3TRQUabQu_ym0Zz7PgGX0-kHA/edit?usp=sharing"",""แผน!HQ40"")"),0)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IFERROR(__xludf.DUMMYFUNCTION("IMPORTRANGE(""https://docs.google.com/spreadsheets/d/1QqKyyYR6Q21VydFLVH3TRQUabQu_ym0Zz7PgGX0-kHA/edit?usp=sharing"",""แผน!HR40"")"),2)</f>
        <v>2</v>
      </c>
      <c r="J643" s="992">
        <v>2</v>
      </c>
      <c r="K643" s="978">
        <f t="shared" ref="K643:K652" ca="1" si="271">IF(I643&gt;0,J643*100/I643,0)</f>
        <v>100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IFERROR(__xludf.DUMMYFUNCTION("IMPORTRANGE(""https://docs.google.com/spreadsheets/d/1QqKyyYR6Q21VydFLVH3TRQUabQu_ym0Zz7PgGX0-kHA/edit?usp=sharing"",""แผน!HR40"")"),2)</f>
        <v>2</v>
      </c>
      <c r="J644" s="992">
        <v>2</v>
      </c>
      <c r="K644" s="978">
        <f t="shared" ca="1" si="271"/>
        <v>100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IFERROR(__xludf.DUMMYFUNCTION("IMPORTRANGE(""https://docs.google.com/spreadsheets/d/1XWAQStnk-4SwqDmLtmXYiTMKHgktTP8We1SCoS47DrQ/edit?usp=sharing"",""จัดที่ดิน!AS40"")"),3)</f>
        <v>3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IFERROR(__xludf.DUMMYFUNCTION("IMPORTRANGE(""https://docs.google.com/spreadsheets/d/1XWAQStnk-4SwqDmLtmXYiTMKHgktTP8We1SCoS47DrQ/edit?usp=sharing"",""จัดที่ดิน!AT40"")"),0.43)</f>
        <v>0.43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IFERROR(__xludf.DUMMYFUNCTION("IMPORTRANGE(""https://docs.google.com/spreadsheets/d/1QqKyyYR6Q21VydFLVH3TRQUabQu_ym0Zz7PgGX0-kHA/edit?usp=sharing"",""แผน!HS40"")"),100)</f>
        <v>100</v>
      </c>
      <c r="J647" s="863">
        <f ca="1">IFERROR(__xludf.DUMMYFUNCTION("IMPORTRANGE(""https://docs.google.com/spreadsheets/d/1XWAQStnk-4SwqDmLtmXYiTMKHgktTP8We1SCoS47DrQ/edit?usp=sharing"",""จัดที่ดิน!AU40"")"),70)</f>
        <v>70</v>
      </c>
      <c r="K647" s="978">
        <f t="shared" ca="1" si="271"/>
        <v>70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IFERROR(__xludf.DUMMYFUNCTION("IMPORTRANGE(""https://docs.google.com/spreadsheets/d/1XWAQStnk-4SwqDmLtmXYiTMKHgktTP8We1SCoS47DrQ/edit?usp=sharing"",""จัดที่ดิน!AV40"")"),47.86)</f>
        <v>47.86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IFERROR(__xludf.DUMMYFUNCTION("IMPORTRANGE(""https://docs.google.com/spreadsheets/d/1QqKyyYR6Q21VydFLVH3TRQUabQu_ym0Zz7PgGX0-kHA/edit?usp=sharing"",""แผน!HS40"")"),100)</f>
        <v>100</v>
      </c>
      <c r="J649" s="863">
        <f ca="1">IFERROR(__xludf.DUMMYFUNCTION("IMPORTRANGE(""https://docs.google.com/spreadsheets/d/1XWAQStnk-4SwqDmLtmXYiTMKHgktTP8We1SCoS47DrQ/edit?usp=sharing"",""จัดที่ดิน!AW40"")"),72)</f>
        <v>72</v>
      </c>
      <c r="K649" s="978">
        <f t="shared" ca="1" si="271"/>
        <v>72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IFERROR(__xludf.DUMMYFUNCTION("IMPORTRANGE(""https://docs.google.com/spreadsheets/d/1XWAQStnk-4SwqDmLtmXYiTMKHgktTP8We1SCoS47DrQ/edit?usp=sharing"",""จัดที่ดิน!AX40"")"),49.3)</f>
        <v>49.3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IFERROR(__xludf.DUMMYFUNCTION("IMPORTRANGE(""https://docs.google.com/spreadsheets/d/1QqKyyYR6Q21VydFLVH3TRQUabQu_ym0Zz7PgGX0-kHA/edit?usp=sharing"",""แผน!HS40"")"),100)</f>
        <v>100</v>
      </c>
      <c r="J651" s="863">
        <f ca="1">IFERROR(__xludf.DUMMYFUNCTION("IMPORTRANGE(""https://docs.google.com/spreadsheets/d/1XWAQStnk-4SwqDmLtmXYiTMKHgktTP8We1SCoS47DrQ/edit?usp=sharing"",""จัดที่ดิน!AY40"")"),71)</f>
        <v>71</v>
      </c>
      <c r="K651" s="978">
        <f t="shared" ca="1" si="271"/>
        <v>71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IFERROR(__xludf.DUMMYFUNCTION("IMPORTRANGE(""https://docs.google.com/spreadsheets/d/1XWAQStnk-4SwqDmLtmXYiTMKHgktTP8We1SCoS47DrQ/edit?usp=sharing"",""จัดที่ดิน!AZ40"")"),49)</f>
        <v>49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 hidden="1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IFERROR(__xludf.DUMMYFUNCTION("IMPORTRANGE(""https://docs.google.com/spreadsheets/d/1QqKyyYR6Q21VydFLVH3TRQUabQu_ym0Zz7PgGX0-kHA/edit?usp=sharing"",""แผน!HV40"")"),0)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IFERROR(__xludf.DUMMYFUNCTION("IMPORTRANGE(""https://docs.google.com/spreadsheets/d/1QqKyyYR6Q21VydFLVH3TRQUabQu_ym0Zz7PgGX0-kHA/edit?usp=sharing"",""แผน!IA40"")"),0)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IFERROR(__xludf.DUMMYFUNCTION("IMPORTRANGE(""https://docs.google.com/spreadsheets/d/1QqKyyYR6Q21VydFLVH3TRQUabQu_ym0Zz7PgGX0-kHA/edit?usp=sharing"",""แผน!HZ40"")"),0)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IFERROR(__xludf.DUMMYFUNCTION("IMPORTRANGE(""https://docs.google.com/spreadsheets/d/1QqKyyYR6Q21VydFLVH3TRQUabQu_ym0Zz7PgGX0-kHA/edit?usp=sharing"",""แผน!HZ40"")"),0)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IFERROR(__xludf.DUMMYFUNCTION("IMPORTRANGE(""https://docs.google.com/spreadsheets/d/1QqKyyYR6Q21VydFLVH3TRQUabQu_ym0Zz7PgGX0-kHA/edit?usp=sharing"",""แผน!IB40"")"),0)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 hidden="1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 hidden="1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 hidden="1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IFERROR(__xludf.DUMMYFUNCTION("IMPORTRANGE(""https://docs.google.com/spreadsheets/d/1QqKyyYR6Q21VydFLVH3TRQUabQu_ym0Zz7PgGX0-kHA/edit?usp=sharing"",""แผน!HW40"")"),0)</f>
        <v>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 hidden="1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 hidden="1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 hidden="1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 hidden="1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 hidden="1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 hidden="1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 hidden="1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IFERROR(__xludf.DUMMYFUNCTION("IMPORTRANGE(""https://docs.google.com/spreadsheets/d/1QqKyyYR6Q21VydFLVH3TRQUabQu_ym0Zz7PgGX0-kHA/edit?usp=sharing"",""แผน!IC40"")"),0)</f>
        <v>0</v>
      </c>
      <c r="J699" s="863">
        <f ca="1">IFERROR(__xludf.DUMMYFUNCTION("IMPORTRANGE(""https://docs.google.com/spreadsheets/d/1XWAQStnk-4SwqDmLtmXYiTMKHgktTP8We1SCoS47DrQ/edit?usp=sharing"",""จัดที่ดิน!BB40"")"),0)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 hidden="1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IFERROR(__xludf.DUMMYFUNCTION("IMPORTRANGE(""https://docs.google.com/spreadsheets/d/1QqKyyYR6Q21VydFLVH3TRQUabQu_ym0Zz7PgGX0-kHA/edit?usp=sharing"",""แผน!ID40"")"),0)</f>
        <v>0</v>
      </c>
      <c r="J700" s="863">
        <f ca="1">IFERROR(__xludf.DUMMYFUNCTION("IMPORTRANGE(""https://docs.google.com/spreadsheets/d/1XWAQStnk-4SwqDmLtmXYiTMKHgktTP8We1SCoS47DrQ/edit?usp=sharing"",""จัดที่ดิน!BD40"")"),0)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IFERROR(__xludf.DUMMYFUNCTION("IMPORTRANGE(""https://docs.google.com/spreadsheets/d/1QqKyyYR6Q21VydFLVH3TRQUabQu_ym0Zz7PgGX0-kHA/edit?usp=sharing"",""แผน!IE40"")"),0)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IFERROR(__xludf.DUMMYFUNCTION("IMPORTRANGE(""https://docs.google.com/spreadsheets/d/1QqKyyYR6Q21VydFLVH3TRQUabQu_ym0Zz7PgGX0-kHA/edit?usp=sharing"",""แผน!IF40"")"),0)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IFERROR(__xludf.DUMMYFUNCTION("IMPORTRANGE(""https://docs.google.com/spreadsheets/d/1QqKyyYR6Q21VydFLVH3TRQUabQu_ym0Zz7PgGX0-kHA/edit?usp=sharing"",""แผน!IG40"")"),0)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IFERROR(__xludf.DUMMYFUNCTION("IMPORTRANGE(""https://docs.google.com/spreadsheets/d/1QqKyyYR6Q21VydFLVH3TRQUabQu_ym0Zz7PgGX0-kHA/edit?usp=sharing"",""แผน!IH40"")"),0)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IFERROR(__xludf.DUMMYFUNCTION("IMPORTRANGE(""https://docs.google.com/spreadsheets/d/1XWAQStnk-4SwqDmLtmXYiTMKHgktTP8We1SCoS47DrQ/edit?usp=sharing"",""จัดที่ดิน!BF40"")"),0)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IFERROR(__xludf.DUMMYFUNCTION("IMPORTRANGE(""https://docs.google.com/spreadsheets/d/1XWAQStnk-4SwqDmLtmXYiTMKHgktTP8We1SCoS47DrQ/edit?usp=sharing"",""จัดที่ดิน!BG40"")"),0)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IFERROR(__xludf.DUMMYFUNCTION("IMPORTRANGE(""https://docs.google.com/spreadsheets/d/1QqKyyYR6Q21VydFLVH3TRQUabQu_ym0Zz7PgGX0-kHA/edit?usp=sharing"",""แผน!II40"")"),0)</f>
        <v>0</v>
      </c>
      <c r="J720" s="863">
        <f ca="1">IFERROR(__xludf.DUMMYFUNCTION("IMPORTRANGE(""https://docs.google.com/spreadsheets/d/1XWAQStnk-4SwqDmLtmXYiTMKHgktTP8We1SCoS47DrQ/edit?usp=sharing"",""จัดที่ดิน!BH40"")"),0)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IFERROR(__xludf.DUMMYFUNCTION("IMPORTRANGE(""https://docs.google.com/spreadsheets/d/1QqKyyYR6Q21VydFLVH3TRQUabQu_ym0Zz7PgGX0-kHA/edit?usp=sharing"",""แผน!IJ40"")"),0)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IFERROR(__xludf.DUMMYFUNCTION("IMPORTRANGE(""https://docs.google.com/spreadsheets/d/1QqKyyYR6Q21VydFLVH3TRQUabQu_ym0Zz7PgGX0-kHA/edit?usp=sharing"",""แผน!IK40"")"),0)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IFERROR(__xludf.DUMMYFUNCTION("IMPORTRANGE(""https://docs.google.com/spreadsheets/d/1QqKyyYR6Q21VydFLVH3TRQUabQu_ym0Zz7PgGX0-kHA/edit?usp=sharing"",""แผน!IL40"")"),0)</f>
        <v>0</v>
      </c>
      <c r="J723" s="863">
        <f ca="1">IFERROR(__xludf.DUMMYFUNCTION("IMPORTRANGE(""https://docs.google.com/spreadsheets/d/1XWAQStnk-4SwqDmLtmXYiTMKHgktTP8We1SCoS47DrQ/edit?usp=sharing"",""จัดที่ดิน!BM40"")"),0)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IFERROR(__xludf.DUMMYFUNCTION("IMPORTRANGE(""https://docs.google.com/spreadsheets/d/1XWAQStnk-4SwqDmLtmXYiTMKHgktTP8We1SCoS47DrQ/edit?usp=sharing"",""จัดที่ดิน!BN40"")"),0)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IFERROR(__xludf.DUMMYFUNCTION("IMPORTRANGE(""https://docs.google.com/spreadsheets/d/1QqKyyYR6Q21VydFLVH3TRQUabQu_ym0Zz7PgGX0-kHA/edit?usp=sharing"",""แผน!IM40"")"),0)</f>
        <v>0</v>
      </c>
      <c r="J725" s="863">
        <f ca="1">IFERROR(__xludf.DUMMYFUNCTION("IMPORTRANGE(""https://docs.google.com/spreadsheets/d/1XWAQStnk-4SwqDmLtmXYiTMKHgktTP8We1SCoS47DrQ/edit?usp=sharing"",""จัดที่ดิน!BO40"")"),0)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IFERROR(__xludf.DUMMYFUNCTION("IMPORTRANGE(""https://docs.google.com/spreadsheets/d/1QqKyyYR6Q21VydFLVH3TRQUabQu_ym0Zz7PgGX0-kHA/edit?usp=sharing"",""แผน!IN40"")"),0)</f>
        <v>0</v>
      </c>
      <c r="J726" s="863">
        <f ca="1">IFERROR(__xludf.DUMMYFUNCTION("IMPORTRANGE(""https://docs.google.com/spreadsheets/d/1XWAQStnk-4SwqDmLtmXYiTMKHgktTP8We1SCoS47DrQ/edit?usp=sharing"",""จัดที่ดิน!BR40"")"),0)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IFERROR(__xludf.DUMMYFUNCTION("IMPORTRANGE(""https://docs.google.com/spreadsheets/d/1XWAQStnk-4SwqDmLtmXYiTMKHgktTP8We1SCoS47DrQ/edit?usp=sharing"",""จัดที่ดิน!BS40"")"),0)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IFERROR(__xludf.DUMMYFUNCTION("IMPORTRANGE(""https://docs.google.com/spreadsheets/d/1QqKyyYR6Q21VydFLVH3TRQUabQu_ym0Zz7PgGX0-kHA/edit?usp=sharing"",""แผน!IO40"")"),0)</f>
        <v>0</v>
      </c>
      <c r="J728" s="863">
        <f ca="1">IFERROR(__xludf.DUMMYFUNCTION("IMPORTRANGE(""https://docs.google.com/spreadsheets/d/1XWAQStnk-4SwqDmLtmXYiTMKHgktTP8We1SCoS47DrQ/edit?usp=sharing"",""จัดที่ดิน!BT40"")"),0)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IFERROR(__xludf.DUMMYFUNCTION("IMPORTRANGE(""https://docs.google.com/spreadsheets/d/1QqKyyYR6Q21VydFLVH3TRQUabQu_ym0Zz7PgGX0-kHA/edit?usp=sharing"",""แผน!IP40"")"),0)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IFERROR(__xludf.DUMMYFUNCTION("IMPORTRANGE(""https://docs.google.com/spreadsheets/d/1QqKyyYR6Q21VydFLVH3TRQUabQu_ym0Zz7PgGX0-kHA/edit?usp=sharing"",""แผน!JJ40"")"),0)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IFERROR(__xludf.DUMMYFUNCTION("IMPORTRANGE(""https://docs.google.com/spreadsheets/d/1QqKyyYR6Q21VydFLVH3TRQUabQu_ym0Zz7PgGX0-kHA/edit?usp=sharing"",""แผน!JN40"")"),0)</f>
        <v>0</v>
      </c>
      <c r="J800" s="977">
        <f ca="1">IFERROR(__xludf.DUMMYFUNCTION("IMPORTRANGE(""https://docs.google.com/spreadsheets/d/1MaWodYyGHDf7siQLGxnXhG4mBNTNIuy296niS2xXulU/edit?usp=sharing"",""RTK!H40"")"),0)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IFERROR(__xludf.DUMMYFUNCTION("IMPORTRANGE(""https://docs.google.com/spreadsheets/d/1MaWodYyGHDf7siQLGxnXhG4mBNTNIuy296niS2xXulU/edit?usp=sharing"",""RTK!I40"")"),0)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863">
        <f ca="1">IFERROR(__xludf.DUMMYFUNCTION("IMPORTRANGE(""https://docs.google.com/spreadsheets/d/19vJNZY_5yjcGF2XGBMNZRCAIB0Kwfpjp8YEOfu-bneM/edit?usp=sharing"",""งานกองทุน!F40"")"),2068914.2)</f>
        <v>2068914.2</v>
      </c>
      <c r="K821" s="864">
        <f t="shared" ref="K821:K828" ca="1" si="335">IF(I821&gt;0,J821*100/I821,0)</f>
        <v>34.093648669410193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IFERROR(__xludf.DUMMYFUNCTION("IMPORTRANGE(""https://docs.google.com/spreadsheets/d/19vJNZY_5yjcGF2XGBMNZRCAIB0Kwfpjp8YEOfu-bneM/edit?usp=sharing"",""งานกองทุน!C40"")"),530)</f>
        <v>530</v>
      </c>
      <c r="J822" s="863">
        <f ca="1">IFERROR(__xludf.DUMMYFUNCTION("IMPORTRANGE(""https://docs.google.com/spreadsheets/d/19vJNZY_5yjcGF2XGBMNZRCAIB0Kwfpjp8YEOfu-bneM/edit?usp=sharing"",""งานกองทุน!E40"")"),179)</f>
        <v>179</v>
      </c>
      <c r="K822" s="864">
        <f t="shared" ca="1" si="335"/>
        <v>33.773584905660378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863">
        <f ca="1">IFERROR(__xludf.DUMMYFUNCTION("IMPORTRANGE(""https://docs.google.com/spreadsheets/d/19vJNZY_5yjcGF2XGBMNZRCAIB0Kwfpjp8YEOfu-bneM/edit?usp=sharing"",""งานกองทุน!K40"")"),347137.54)</f>
        <v>347137.54</v>
      </c>
      <c r="K823" s="864">
        <f t="shared" ca="1" si="335"/>
        <v>9.0062502948248611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IFERROR(__xludf.DUMMYFUNCTION("IMPORTRANGE(""https://docs.google.com/spreadsheets/d/19vJNZY_5yjcGF2XGBMNZRCAIB0Kwfpjp8YEOfu-bneM/edit?usp=sharing"",""งานกองทุน!H40"")"),233)</f>
        <v>233</v>
      </c>
      <c r="J824" s="863">
        <f ca="1">IFERROR(__xludf.DUMMYFUNCTION("IMPORTRANGE(""https://docs.google.com/spreadsheets/d/19vJNZY_5yjcGF2XGBMNZRCAIB0Kwfpjp8YEOfu-bneM/edit?usp=sharing"",""งานกองทุน!J40"")"),74)</f>
        <v>74</v>
      </c>
      <c r="K824" s="864">
        <f t="shared" ca="1" si="335"/>
        <v>31.759656652360515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IFERROR(__xludf.DUMMYFUNCTION("IMPORTRANGE(""https://docs.google.com/spreadsheets/d/19vJNZY_5yjcGF2XGBMNZRCAIB0Kwfpjp8YEOfu-bneM/edit?usp=sharing"",""งานกองทุน!N40"")"),0)</f>
        <v>0</v>
      </c>
      <c r="J825" s="863">
        <f ca="1">IFERROR(__xludf.DUMMYFUNCTION("IMPORTRANGE(""https://docs.google.com/spreadsheets/d/19vJNZY_5yjcGF2XGBMNZRCAIB0Kwfpjp8YEOfu-bneM/edit?usp=sharing"",""งานกองทุน!P40"")"),92814.66)</f>
        <v>92814.66</v>
      </c>
      <c r="K825" s="864">
        <f t="shared" ca="1" si="335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IFERROR(__xludf.DUMMYFUNCTION("IMPORTRANGE(""https://docs.google.com/spreadsheets/d/19vJNZY_5yjcGF2XGBMNZRCAIB0Kwfpjp8YEOfu-bneM/edit?usp=sharing"",""งานกองทุน!M40"")"),0)</f>
        <v>0</v>
      </c>
      <c r="J826" s="863">
        <f ca="1">IFERROR(__xludf.DUMMYFUNCTION("IMPORTRANGE(""https://docs.google.com/spreadsheets/d/19vJNZY_5yjcGF2XGBMNZRCAIB0Kwfpjp8YEOfu-bneM/edit?usp=sharing"",""งานกองทุน!O40"")"),6)</f>
        <v>6</v>
      </c>
      <c r="K826" s="864">
        <f t="shared" ca="1" si="335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IFERROR(__xludf.DUMMYFUNCTION("IMPORTRANGE(""https://docs.google.com/spreadsheets/d/19vJNZY_5yjcGF2XGBMNZRCAIB0Kwfpjp8YEOfu-bneM/edit?usp=sharing"",""งานกองทุน!S40"")"),5080000)</f>
        <v>5080000</v>
      </c>
      <c r="J827" s="863">
        <f ca="1">IFERROR(__xludf.DUMMYFUNCTION("IMPORTRANGE(""https://docs.google.com/spreadsheets/d/19vJNZY_5yjcGF2XGBMNZRCAIB0Kwfpjp8YEOfu-bneM/edit?usp=sharing"",""งานกองทุน!U40"")"),0)</f>
        <v>0</v>
      </c>
      <c r="K827" s="864">
        <f t="shared" ca="1" si="335"/>
        <v>0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IFERROR(__xludf.DUMMYFUNCTION("IMPORTRANGE(""https://docs.google.com/spreadsheets/d/19vJNZY_5yjcGF2XGBMNZRCAIB0Kwfpjp8YEOfu-bneM/edit?usp=sharing"",""งานกองทุน!R40"")"),203)</f>
        <v>203</v>
      </c>
      <c r="J828" s="1117">
        <f ca="1">IFERROR(__xludf.DUMMYFUNCTION("IMPORTRANGE(""https://docs.google.com/spreadsheets/d/19vJNZY_5yjcGF2XGBMNZRCAIB0Kwfpjp8YEOfu-bneM/edit?usp=sharing"",""งานกองทุน!T40"")"),0)</f>
        <v>0</v>
      </c>
      <c r="K828" s="1215">
        <f t="shared" ca="1" si="335"/>
        <v>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20D0-B658-4639-9CE6-AB0DDA9894A1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346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6098853</v>
      </c>
      <c r="M8" s="850">
        <f t="shared" ca="1" si="0"/>
        <v>3547288.9</v>
      </c>
      <c r="N8" s="850">
        <f t="shared" ca="1" si="0"/>
        <v>2757896.58</v>
      </c>
      <c r="O8" s="850">
        <f t="shared" ref="O8:O16" ca="1" si="1">IF(L8&gt;0,N8*100/L8,0)</f>
        <v>45.219922172251074</v>
      </c>
      <c r="P8" s="850">
        <f t="shared" ref="P8:P16" ca="1" si="2">IF(M8&gt;0,N8*100/M8,0)</f>
        <v>77.746601919003552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6098853</v>
      </c>
      <c r="M10" s="857">
        <f t="shared" ca="1" si="3"/>
        <v>3547288.9</v>
      </c>
      <c r="N10" s="857">
        <f t="shared" ca="1" si="3"/>
        <v>2757896.58</v>
      </c>
      <c r="O10" s="857">
        <f t="shared" ca="1" si="1"/>
        <v>45.219922172251074</v>
      </c>
      <c r="P10" s="857">
        <f t="shared" ca="1" si="2"/>
        <v>77.746601919003552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5711553</v>
      </c>
      <c r="M11" s="864">
        <f t="shared" ca="1" si="4"/>
        <v>3159988.9</v>
      </c>
      <c r="N11" s="864">
        <f t="shared" ca="1" si="4"/>
        <v>2370596.58</v>
      </c>
      <c r="O11" s="864">
        <f t="shared" ca="1" si="1"/>
        <v>41.505289016840081</v>
      </c>
      <c r="P11" s="864">
        <f t="shared" ca="1" si="2"/>
        <v>75.019142630532656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5711553</v>
      </c>
      <c r="M13" s="870">
        <f t="shared" ca="1" si="5"/>
        <v>3159988.9</v>
      </c>
      <c r="N13" s="870">
        <f t="shared" ca="1" si="5"/>
        <v>2370596.58</v>
      </c>
      <c r="O13" s="870">
        <f t="shared" ca="1" si="1"/>
        <v>41.505289016840081</v>
      </c>
      <c r="P13" s="870">
        <f t="shared" ca="1" si="2"/>
        <v>75.019142630532656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387300</v>
      </c>
      <c r="M14" s="864">
        <f t="shared" ca="1" si="6"/>
        <v>387300</v>
      </c>
      <c r="N14" s="864">
        <f t="shared" ca="1" si="6"/>
        <v>387300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387300</v>
      </c>
      <c r="M16" s="876">
        <f t="shared" ca="1" si="7"/>
        <v>387300</v>
      </c>
      <c r="N16" s="876">
        <f t="shared" ca="1" si="7"/>
        <v>387300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4165990</v>
      </c>
      <c r="M18" s="850">
        <f t="shared" ca="1" si="8"/>
        <v>3547288.9</v>
      </c>
      <c r="N18" s="850">
        <f t="shared" ca="1" si="8"/>
        <v>2111507.58</v>
      </c>
      <c r="O18" s="850">
        <f t="shared" ref="O18:O26" ca="1" si="9">IF(L18&gt;0,N18*100/L18,0)</f>
        <v>50.684413068682353</v>
      </c>
      <c r="P18" s="850">
        <f t="shared" ref="P18:P26" ca="1" si="10">IF(M18&gt;0,N18*100/M18,0)</f>
        <v>59.524545068770692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4165990</v>
      </c>
      <c r="M20" s="857">
        <f t="shared" ca="1" si="11"/>
        <v>3547288.9</v>
      </c>
      <c r="N20" s="857">
        <f t="shared" ca="1" si="11"/>
        <v>2111507.58</v>
      </c>
      <c r="O20" s="857">
        <f t="shared" ca="1" si="9"/>
        <v>50.684413068682353</v>
      </c>
      <c r="P20" s="857">
        <f t="shared" ca="1" si="10"/>
        <v>59.524545068770692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3778690</v>
      </c>
      <c r="M21" s="864">
        <f t="shared" ca="1" si="12"/>
        <v>3159988.9</v>
      </c>
      <c r="N21" s="864">
        <f t="shared" ca="1" si="12"/>
        <v>1724207.58</v>
      </c>
      <c r="O21" s="864">
        <f t="shared" ca="1" si="9"/>
        <v>45.629770634796714</v>
      </c>
      <c r="P21" s="864">
        <f t="shared" ca="1" si="10"/>
        <v>54.563722676367632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3778690</v>
      </c>
      <c r="M23" s="870">
        <f t="shared" ca="1" si="13"/>
        <v>3159988.9</v>
      </c>
      <c r="N23" s="870">
        <f t="shared" ca="1" si="13"/>
        <v>1724207.58</v>
      </c>
      <c r="O23" s="870">
        <f t="shared" ca="1" si="9"/>
        <v>45.629770634796714</v>
      </c>
      <c r="P23" s="870">
        <f t="shared" ca="1" si="10"/>
        <v>54.563722676367632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387300</v>
      </c>
      <c r="M24" s="864">
        <f t="shared" ca="1" si="14"/>
        <v>387300</v>
      </c>
      <c r="N24" s="864">
        <f t="shared" ca="1" si="14"/>
        <v>387300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387300</v>
      </c>
      <c r="M26" s="876">
        <f t="shared" ca="1" si="15"/>
        <v>387300</v>
      </c>
      <c r="N26" s="876">
        <f t="shared" ca="1" si="15"/>
        <v>387300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1932863</v>
      </c>
      <c r="M28" s="850">
        <f t="shared" si="16"/>
        <v>0</v>
      </c>
      <c r="N28" s="850">
        <f t="shared" si="16"/>
        <v>646389</v>
      </c>
      <c r="O28" s="850">
        <f t="shared" ref="O28:O37" ca="1" si="17">IF(L28&gt;0,N28*100/L28,0)</f>
        <v>33.442049436509471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1932863</v>
      </c>
      <c r="M30" s="857">
        <f t="shared" si="19"/>
        <v>0</v>
      </c>
      <c r="N30" s="857">
        <f t="shared" si="19"/>
        <v>646389</v>
      </c>
      <c r="O30" s="857">
        <f t="shared" ca="1" si="17"/>
        <v>33.442049436509471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1932863</v>
      </c>
      <c r="M31" s="864">
        <f t="shared" si="20"/>
        <v>0</v>
      </c>
      <c r="N31" s="864">
        <f t="shared" si="20"/>
        <v>646389</v>
      </c>
      <c r="O31" s="864">
        <f t="shared" ca="1" si="17"/>
        <v>33.442049436509471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1932863</v>
      </c>
      <c r="M33" s="870">
        <f t="shared" si="21"/>
        <v>0</v>
      </c>
      <c r="N33" s="870">
        <f t="shared" si="21"/>
        <v>646389</v>
      </c>
      <c r="O33" s="870">
        <f t="shared" ca="1" si="17"/>
        <v>33.442049436509471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4165990</v>
      </c>
      <c r="M37" s="883">
        <f t="shared" ca="1" si="24"/>
        <v>3547288.9</v>
      </c>
      <c r="N37" s="883">
        <f t="shared" ca="1" si="24"/>
        <v>2111507.58</v>
      </c>
      <c r="O37" s="883">
        <f t="shared" ca="1" si="17"/>
        <v>50.684413068682353</v>
      </c>
      <c r="P37" s="883">
        <f t="shared" ca="1" si="18"/>
        <v>59.524545068770692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632700</v>
      </c>
      <c r="M41" s="908">
        <f t="shared" ca="1" si="25"/>
        <v>639358.9</v>
      </c>
      <c r="N41" s="908">
        <f t="shared" ca="1" si="25"/>
        <v>322707</v>
      </c>
      <c r="O41" s="908">
        <f t="shared" ref="O41:O49" ca="1" si="26">IF(L41&gt;0,N41*100/L41,0)</f>
        <v>51.004741583688954</v>
      </c>
      <c r="P41" s="908">
        <f t="shared" ref="P41:P49" ca="1" si="27">IF(M41&gt;0,N41*100/M41,0)</f>
        <v>50.473529030408429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632700</v>
      </c>
      <c r="M43" s="914">
        <f t="shared" ca="1" si="28"/>
        <v>639358.9</v>
      </c>
      <c r="N43" s="914">
        <f t="shared" ca="1" si="28"/>
        <v>322707</v>
      </c>
      <c r="O43" s="914">
        <f t="shared" ca="1" si="26"/>
        <v>51.004741583688954</v>
      </c>
      <c r="P43" s="914">
        <f t="shared" ca="1" si="27"/>
        <v>50.473529030408429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632700</v>
      </c>
      <c r="M44" s="864">
        <f t="shared" ca="1" si="29"/>
        <v>639358.9</v>
      </c>
      <c r="N44" s="864">
        <f t="shared" ca="1" si="29"/>
        <v>322707</v>
      </c>
      <c r="O44" s="864">
        <f t="shared" ca="1" si="26"/>
        <v>51.004741583688954</v>
      </c>
      <c r="P44" s="864">
        <f t="shared" ca="1" si="27"/>
        <v>50.473529030408429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IFERROR(__xludf.DUMMYFUNCTION("IMPORTRANGE(""https://docs.google.com/spreadsheets/d/1MeEWN-I1oV_STSDYn1IFDPWt_1FKiwhDph83XaGc0o0/edit?usp=sharing"",""งบพรบ!M41"")"),632700)</f>
        <v>632700</v>
      </c>
      <c r="M46" s="870">
        <f ca="1">IFERROR(__xludf.DUMMYFUNCTION("IMPORTRANGE(""https://docs.google.com/spreadsheets/d/1MeEWN-I1oV_STSDYn1IFDPWt_1FKiwhDph83XaGc0o0/edit?usp=sharing"",""งบพรบ!R41"")"),639358.9)</f>
        <v>639358.9</v>
      </c>
      <c r="N46" s="870">
        <f ca="1">IFERROR(__xludf.DUMMYFUNCTION("IMPORTRANGE(""https://docs.google.com/spreadsheets/d/1MeEWN-I1oV_STSDYn1IFDPWt_1FKiwhDph83XaGc0o0/edit?usp=sharing"",""งบพรบ!T41"")"),322707)</f>
        <v>322707</v>
      </c>
      <c r="O46" s="870">
        <f t="shared" ca="1" si="26"/>
        <v>51.004741583688954</v>
      </c>
      <c r="P46" s="870">
        <f t="shared" ca="1" si="27"/>
        <v>50.473529030408429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IFERROR(__xludf.DUMMYFUNCTION("IMPORTRANGE(""https://docs.google.com/spreadsheets/d/1MeEWN-I1oV_STSDYn1IFDPWt_1FKiwhDph83XaGc0o0/edit?usp=sharing"",""งบพรบ!P41"")"),0)</f>
        <v>0</v>
      </c>
      <c r="M49" s="876">
        <f ca="1">IFERROR(__xludf.DUMMYFUNCTION("IMPORTRANGE(""https://docs.google.com/spreadsheets/d/1MeEWN-I1oV_STSDYn1IFDPWt_1FKiwhDph83XaGc0o0/edit?usp=sharing"",""งบพรบ!S41"")"),0)</f>
        <v>0</v>
      </c>
      <c r="N49" s="876">
        <f ca="1">IFERROR(__xludf.DUMMYFUNCTION("IMPORTRANGE(""https://docs.google.com/spreadsheets/d/1MeEWN-I1oV_STSDYn1IFDPWt_1FKiwhDph83XaGc0o0/edit?usp=sharing"",""งบพรบ!U41"")"),0)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1011300</v>
      </c>
      <c r="M53" s="936">
        <f t="shared" ca="1" si="31"/>
        <v>942950</v>
      </c>
      <c r="N53" s="936">
        <f t="shared" ca="1" si="31"/>
        <v>562363.58000000007</v>
      </c>
      <c r="O53" s="936">
        <f t="shared" ref="O53:O61" ca="1" si="32">IF(L53&gt;0,N53*100/L53,0)</f>
        <v>55.607987738554343</v>
      </c>
      <c r="P53" s="936">
        <f t="shared" ref="P53:P61" ca="1" si="33">IF(M53&gt;0,N53*100/M53,0)</f>
        <v>59.638748608091632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1011300</v>
      </c>
      <c r="M55" s="942">
        <f t="shared" ca="1" si="34"/>
        <v>942950</v>
      </c>
      <c r="N55" s="942">
        <f t="shared" ca="1" si="34"/>
        <v>562363.58000000007</v>
      </c>
      <c r="O55" s="942">
        <f t="shared" ca="1" si="32"/>
        <v>55.607987738554343</v>
      </c>
      <c r="P55" s="942">
        <f t="shared" ca="1" si="33"/>
        <v>59.638748608091632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845400</v>
      </c>
      <c r="M56" s="864">
        <f t="shared" ca="1" si="35"/>
        <v>777050</v>
      </c>
      <c r="N56" s="864">
        <f t="shared" ca="1" si="35"/>
        <v>396463.58</v>
      </c>
      <c r="O56" s="864">
        <f t="shared" ca="1" si="32"/>
        <v>46.896567305417555</v>
      </c>
      <c r="P56" s="864">
        <f t="shared" ca="1" si="33"/>
        <v>51.021630525706193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IFERROR(__xludf.DUMMYFUNCTION("IMPORTRANGE(""https://docs.google.com/spreadsheets/d/1MeEWN-I1oV_STSDYn1IFDPWt_1FKiwhDph83XaGc0o0/edit?usp=sharing"",""งบพรบ!W41"")"),845400)</f>
        <v>845400</v>
      </c>
      <c r="M58" s="870">
        <f ca="1">IFERROR(__xludf.DUMMYFUNCTION("IMPORTRANGE(""https://docs.google.com/spreadsheets/d/1MeEWN-I1oV_STSDYn1IFDPWt_1FKiwhDph83XaGc0o0/edit?usp=sharing"",""งบพรบ!AB41"")"),777050)</f>
        <v>777050</v>
      </c>
      <c r="N58" s="870">
        <f ca="1">IFERROR(__xludf.DUMMYFUNCTION("IMPORTRANGE(""https://docs.google.com/spreadsheets/d/1MeEWN-I1oV_STSDYn1IFDPWt_1FKiwhDph83XaGc0o0/edit?usp=sharing"",""งบพรบ!AD41"")"),396463.58)</f>
        <v>396463.58</v>
      </c>
      <c r="O58" s="870">
        <f t="shared" ca="1" si="32"/>
        <v>46.896567305417555</v>
      </c>
      <c r="P58" s="870">
        <f t="shared" ca="1" si="33"/>
        <v>51.021630525706193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165900</v>
      </c>
      <c r="M59" s="864">
        <f t="shared" ca="1" si="36"/>
        <v>165900</v>
      </c>
      <c r="N59" s="864">
        <f t="shared" ca="1" si="36"/>
        <v>165900</v>
      </c>
      <c r="O59" s="864">
        <f t="shared" ca="1" si="32"/>
        <v>100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IFERROR(__xludf.DUMMYFUNCTION("IMPORTRANGE(""https://docs.google.com/spreadsheets/d/1MeEWN-I1oV_STSDYn1IFDPWt_1FKiwhDph83XaGc0o0/edit?usp=sharing"",""งบพรบ!Z41"")"),165900)</f>
        <v>165900</v>
      </c>
      <c r="M61" s="876">
        <f ca="1">IFERROR(__xludf.DUMMYFUNCTION("IMPORTRANGE(""https://docs.google.com/spreadsheets/d/1MeEWN-I1oV_STSDYn1IFDPWt_1FKiwhDph83XaGc0o0/edit?usp=sharing"",""งบพรบ!AC41"")"),165900)</f>
        <v>165900</v>
      </c>
      <c r="N61" s="876">
        <f ca="1">IFERROR(__xludf.DUMMYFUNCTION("IMPORTRANGE(""https://docs.google.com/spreadsheets/d/1MeEWN-I1oV_STSDYn1IFDPWt_1FKiwhDph83XaGc0o0/edit?usp=sharing"",""งบพรบ!AE41"")"),165900)</f>
        <v>165900</v>
      </c>
      <c r="O61" s="876">
        <f t="shared" ca="1" si="32"/>
        <v>100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40</v>
      </c>
      <c r="J65" s="962">
        <f t="shared" si="37"/>
        <v>40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697000</v>
      </c>
      <c r="M66" s="972">
        <f t="shared" ca="1" si="39"/>
        <v>517820</v>
      </c>
      <c r="N66" s="972">
        <f t="shared" ca="1" si="39"/>
        <v>339783</v>
      </c>
      <c r="O66" s="972">
        <f t="shared" ref="O66:O74" ca="1" si="40">IF(L66&gt;0,N66*100/L66,0)</f>
        <v>48.749354375896701</v>
      </c>
      <c r="P66" s="972">
        <f t="shared" ref="P66:P74" ca="1" si="41">IF(M66&gt;0,N66*100/M66,0)</f>
        <v>65.617975358232584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697000</v>
      </c>
      <c r="M68" s="870">
        <f t="shared" ca="1" si="42"/>
        <v>517820</v>
      </c>
      <c r="N68" s="870">
        <f t="shared" ca="1" si="42"/>
        <v>339783</v>
      </c>
      <c r="O68" s="870">
        <f t="shared" ca="1" si="40"/>
        <v>48.749354375896701</v>
      </c>
      <c r="P68" s="870">
        <f t="shared" ca="1" si="41"/>
        <v>65.617975358232584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697000</v>
      </c>
      <c r="M69" s="864">
        <f t="shared" ca="1" si="43"/>
        <v>517820</v>
      </c>
      <c r="N69" s="864">
        <f t="shared" ca="1" si="43"/>
        <v>339783</v>
      </c>
      <c r="O69" s="864">
        <f t="shared" ca="1" si="40"/>
        <v>48.749354375896701</v>
      </c>
      <c r="P69" s="864">
        <f t="shared" ca="1" si="41"/>
        <v>65.617975358232584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IFERROR(__xludf.DUMMYFUNCTION("IMPORTRANGE(""https://docs.google.com/spreadsheets/d/1MeEWN-I1oV_STSDYn1IFDPWt_1FKiwhDph83XaGc0o0/edit?usp=sharing"",""งบพรบ!AG41"")"),697000)</f>
        <v>697000</v>
      </c>
      <c r="M71" s="870">
        <f ca="1">IFERROR(__xludf.DUMMYFUNCTION("IMPORTRANGE(""https://docs.google.com/spreadsheets/d/1MeEWN-I1oV_STSDYn1IFDPWt_1FKiwhDph83XaGc0o0/edit?usp=sharing"",""งบพรบ!AL41"")"),517820)</f>
        <v>517820</v>
      </c>
      <c r="N71" s="870">
        <f ca="1">IFERROR(__xludf.DUMMYFUNCTION("IMPORTRANGE(""https://docs.google.com/spreadsheets/d/1MeEWN-I1oV_STSDYn1IFDPWt_1FKiwhDph83XaGc0o0/edit?usp=sharing"",""งบพรบ!AN41"")"),339783)</f>
        <v>339783</v>
      </c>
      <c r="O71" s="870">
        <f t="shared" ca="1" si="40"/>
        <v>48.749354375896701</v>
      </c>
      <c r="P71" s="870">
        <f t="shared" ca="1" si="41"/>
        <v>65.617975358232584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IFERROR(__xludf.DUMMYFUNCTION("IMPORTRANGE(""https://docs.google.com/spreadsheets/d/1MeEWN-I1oV_STSDYn1IFDPWt_1FKiwhDph83XaGc0o0/edit?usp=sharing"",""งบพรบ!AJ41"")"),0)</f>
        <v>0</v>
      </c>
      <c r="M74" s="870">
        <f ca="1">IFERROR(__xludf.DUMMYFUNCTION("IMPORTRANGE(""https://docs.google.com/spreadsheets/d/1MeEWN-I1oV_STSDYn1IFDPWt_1FKiwhDph83XaGc0o0/edit?usp=sharing"",""งบพรบ!AM41"")"),0)</f>
        <v>0</v>
      </c>
      <c r="N74" s="870">
        <f ca="1">IFERROR(__xludf.DUMMYFUNCTION("IMPORTRANGE(""https://docs.google.com/spreadsheets/d/1MeEWN-I1oV_STSDYn1IFDPWt_1FKiwhDph83XaGc0o0/edit?usp=sharing"",""งบพรบ!AO41"")"),0)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40</v>
      </c>
      <c r="J77" s="863">
        <f t="shared" si="45"/>
        <v>40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IFERROR(__xludf.DUMMYFUNCTION("IMPORTRANGE(""https://docs.google.com/spreadsheets/d/1QqKyyYR6Q21VydFLVH3TRQUabQu_ym0Zz7PgGX0-kHA/edit?usp=sharing"",""แผน!H41"")"),0)</f>
        <v>0</v>
      </c>
      <c r="J78" s="992"/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IFERROR(__xludf.DUMMYFUNCTION("IMPORTRANGE(""https://docs.google.com/spreadsheets/d/1QqKyyYR6Q21VydFLVH3TRQUabQu_ym0Zz7PgGX0-kHA/edit?usp=sharing"",""แผน!I41"")"),0)</f>
        <v>0</v>
      </c>
      <c r="J79" s="992"/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IFERROR(__xludf.DUMMYFUNCTION("IMPORTRANGE(""https://docs.google.com/spreadsheets/d/1QqKyyYR6Q21VydFLVH3TRQUabQu_ym0Zz7PgGX0-kHA/edit?usp=sharing"",""แผน!F41"")"),1)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IFERROR(__xludf.DUMMYFUNCTION("IMPORTRANGE(""https://docs.google.com/spreadsheets/d/1QqKyyYR6Q21VydFLVH3TRQUabQu_ym0Zz7PgGX0-kHA/edit?usp=sharing"",""แผน!G41"")"),40)</f>
        <v>40</v>
      </c>
      <c r="J81" s="992">
        <v>40</v>
      </c>
      <c r="K81" s="978">
        <f t="shared" ca="1" si="46"/>
        <v>100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IFERROR(__xludf.DUMMYFUNCTION("IMPORTRANGE(""https://docs.google.com/spreadsheets/d/1QqKyyYR6Q21VydFLVH3TRQUabQu_ym0Zz7PgGX0-kHA/edit?usp=sharing"",""แผน!D41"")"),0)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IFERROR(__xludf.DUMMYFUNCTION("IMPORTRANGE(""https://docs.google.com/spreadsheets/d/1QqKyyYR6Q21VydFLVH3TRQUabQu_ym0Zz7PgGX0-kHA/edit?usp=sharing"",""แผน!E41"")"),0)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IFERROR(__xludf.DUMMYFUNCTION("IMPORTRANGE(""https://docs.google.com/spreadsheets/d/1QqKyyYR6Q21VydFLVH3TRQUabQu_ym0Zz7PgGX0-kHA/edit?usp=sharing"",""แผน!J41"")"),1)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60</v>
      </c>
      <c r="J86" s="962">
        <f t="shared" si="47"/>
        <v>60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20</v>
      </c>
      <c r="J87" s="962">
        <f t="shared" si="47"/>
        <v>20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111880</v>
      </c>
      <c r="M88" s="972">
        <f t="shared" ca="1" si="49"/>
        <v>74430</v>
      </c>
      <c r="N88" s="972">
        <f t="shared" ca="1" si="49"/>
        <v>43040</v>
      </c>
      <c r="O88" s="972">
        <f t="shared" ref="O88:O96" ca="1" si="50">IF(L88&gt;0,N88*100/L88,0)</f>
        <v>38.469789059706827</v>
      </c>
      <c r="P88" s="972">
        <f t="shared" ref="P88:P96" ca="1" si="51">IF(M88&gt;0,N88*100/M88,0)</f>
        <v>57.826145371489993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111880</v>
      </c>
      <c r="M90" s="870">
        <f t="shared" ca="1" si="52"/>
        <v>74430</v>
      </c>
      <c r="N90" s="870">
        <f t="shared" ca="1" si="52"/>
        <v>43040</v>
      </c>
      <c r="O90" s="870">
        <f t="shared" ca="1" si="50"/>
        <v>38.469789059706827</v>
      </c>
      <c r="P90" s="870">
        <f t="shared" ca="1" si="51"/>
        <v>57.826145371489993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111880</v>
      </c>
      <c r="M91" s="864">
        <f t="shared" ca="1" si="53"/>
        <v>74430</v>
      </c>
      <c r="N91" s="864">
        <f t="shared" ca="1" si="53"/>
        <v>43040</v>
      </c>
      <c r="O91" s="864">
        <f t="shared" ca="1" si="50"/>
        <v>38.469789059706827</v>
      </c>
      <c r="P91" s="864">
        <f t="shared" ca="1" si="51"/>
        <v>57.826145371489993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IFERROR(__xludf.DUMMYFUNCTION("IMPORTRANGE(""https://docs.google.com/spreadsheets/d/1MeEWN-I1oV_STSDYn1IFDPWt_1FKiwhDph83XaGc0o0/edit?usp=sharing"",""งบพรบ!AQ41"")"),111880)</f>
        <v>111880</v>
      </c>
      <c r="M93" s="870">
        <f ca="1">IFERROR(__xludf.DUMMYFUNCTION("IMPORTRANGE(""https://docs.google.com/spreadsheets/d/1MeEWN-I1oV_STSDYn1IFDPWt_1FKiwhDph83XaGc0o0/edit?usp=sharing"",""งบพรบ!AV41"")"),74430)</f>
        <v>74430</v>
      </c>
      <c r="N93" s="870">
        <f ca="1">IFERROR(__xludf.DUMMYFUNCTION("IMPORTRANGE(""https://docs.google.com/spreadsheets/d/1MeEWN-I1oV_STSDYn1IFDPWt_1FKiwhDph83XaGc0o0/edit?usp=sharing"",""งบพรบ!AX41"")"),43040)</f>
        <v>43040</v>
      </c>
      <c r="O93" s="870">
        <f t="shared" ca="1" si="50"/>
        <v>38.469789059706827</v>
      </c>
      <c r="P93" s="870">
        <f t="shared" ca="1" si="51"/>
        <v>57.826145371489993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IFERROR(__xludf.DUMMYFUNCTION("IMPORTRANGE(""https://docs.google.com/spreadsheets/d/1MeEWN-I1oV_STSDYn1IFDPWt_1FKiwhDph83XaGc0o0/edit?usp=sharing"",""งบพรบ!AT41"")"),0)</f>
        <v>0</v>
      </c>
      <c r="M96" s="870">
        <f ca="1">IFERROR(__xludf.DUMMYFUNCTION("IMPORTRANGE(""https://docs.google.com/spreadsheets/d/1MeEWN-I1oV_STSDYn1IFDPWt_1FKiwhDph83XaGc0o0/edit?usp=sharing"",""งบพรบ!AW41"")"),0)</f>
        <v>0</v>
      </c>
      <c r="N96" s="870">
        <f ca="1">IFERROR(__xludf.DUMMYFUNCTION("IMPORTRANGE(""https://docs.google.com/spreadsheets/d/1MeEWN-I1oV_STSDYn1IFDPWt_1FKiwhDph83XaGc0o0/edit?usp=sharing"",""งบพรบ!AY41"")"),0)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IFERROR(__xludf.DUMMYFUNCTION("IMPORTRANGE(""https://docs.google.com/spreadsheets/d/1QqKyyYR6Q21VydFLVH3TRQUabQu_ym0Zz7PgGX0-kHA/edit?usp=sharing"",""แผน!K41"")"),60)</f>
        <v>60</v>
      </c>
      <c r="J98" s="863">
        <f>J102</f>
        <v>60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IFERROR(__xludf.DUMMYFUNCTION("IMPORTRANGE(""https://docs.google.com/spreadsheets/d/1QqKyyYR6Q21VydFLVH3TRQUabQu_ym0Zz7PgGX0-kHA/edit?usp=sharing"",""แผน!L41"")"),20)</f>
        <v>20</v>
      </c>
      <c r="J99" s="863">
        <f>J104</f>
        <v>20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IFERROR(__xludf.DUMMYFUNCTION("IMPORTRANGE(""https://docs.google.com/spreadsheets/d/1QqKyyYR6Q21VydFLVH3TRQUabQu_ym0Zz7PgGX0-kHA/edit?usp=sharing"",""แผน!M41"")"),2)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IFERROR(__xludf.DUMMYFUNCTION("IMPORTRANGE(""https://docs.google.com/spreadsheets/d/1QqKyyYR6Q21VydFLVH3TRQUabQu_ym0Zz7PgGX0-kHA/edit?usp=sharing"",""แผน!N41"")"),60)</f>
        <v>60</v>
      </c>
      <c r="J102" s="992">
        <v>60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IFERROR(__xludf.DUMMYFUNCTION("IMPORTRANGE(""https://docs.google.com/spreadsheets/d/1QqKyyYR6Q21VydFLVH3TRQUabQu_ym0Zz7PgGX0-kHA/edit?usp=sharing"",""แผน!O41"")"),20)</f>
        <v>20</v>
      </c>
      <c r="J103" s="992">
        <v>20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IFERROR(__xludf.DUMMYFUNCTION("IMPORTRANGE(""https://docs.google.com/spreadsheets/d/1QqKyyYR6Q21VydFLVH3TRQUabQu_ym0Zz7PgGX0-kHA/edit?usp=sharing"",""แผน!O41"")"),20)</f>
        <v>20</v>
      </c>
      <c r="J104" s="992">
        <v>20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IFERROR(__xludf.DUMMYFUNCTION("IMPORTRANGE(""https://docs.google.com/spreadsheets/d/1QqKyyYR6Q21VydFLVH3TRQUabQu_ym0Zz7PgGX0-kHA/edit?usp=sharing"",""แผน!P41"")"),1)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IFERROR(__xludf.DUMMYFUNCTION("IMPORTRANGE(""https://docs.google.com/spreadsheets/d/1QqKyyYR6Q21VydFLVH3TRQUabQu_ym0Zz7PgGX0-kHA/edit?usp=sharing"",""แผน!P41"")"),1)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IFERROR(__xludf.DUMMYFUNCTION("IMPORTRANGE(""https://docs.google.com/spreadsheets/d/1QqKyyYR6Q21VydFLVH3TRQUabQu_ym0Zz7PgGX0-kHA/edit?usp=sharing"",""แผน!Q41"")"),1)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IFERROR(__xludf.DUMMYFUNCTION("IMPORTRANGE(""https://docs.google.com/spreadsheets/d/1QqKyyYR6Q21VydFLVH3TRQUabQu_ym0Zz7PgGX0-kHA/edit?usp=sharing"",""แผน!Q41"")"),1)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IFERROR(__xludf.DUMMYFUNCTION("IMPORTRANGE(""https://docs.google.com/spreadsheets/d/1QqKyyYR6Q21VydFLVH3TRQUabQu_ym0Zz7PgGX0-kHA/edit?usp=sharing"",""แผน!R41"")"),20)</f>
        <v>20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IFERROR(__xludf.DUMMYFUNCTION("IMPORTRANGE(""https://docs.google.com/spreadsheets/d/1QqKyyYR6Q21VydFLVH3TRQUabQu_ym0Zz7PgGX0-kHA/edit?usp=sharing"",""แผน!R41"")"),20)</f>
        <v>20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IFERROR(__xludf.DUMMYFUNCTION("IMPORTRANGE(""https://docs.google.com/spreadsheets/d/1QqKyyYR6Q21VydFLVH3TRQUabQu_ym0Zz7PgGX0-kHA/edit?usp=sharing"",""แผน!R41"")"),20)</f>
        <v>20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IFERROR(__xludf.DUMMYFUNCTION("IMPORTRANGE(""https://docs.google.com/spreadsheets/d/1QqKyyYR6Q21VydFLVH3TRQUabQu_ym0Zz7PgGX0-kHA/edit?usp=sharing"",""แผน!S41"")"),1)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IFERROR(__xludf.DUMMYFUNCTION("IMPORTRANGE(""https://docs.google.com/spreadsheets/d/1QqKyyYR6Q21VydFLVH3TRQUabQu_ym0Zz7PgGX0-kHA/edit?usp=sharing"",""แผน!T41"")"),1)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>
      <c r="A118" s="957"/>
      <c r="B118" s="958" t="s">
        <v>65</v>
      </c>
      <c r="C118" s="1006"/>
      <c r="D118" s="960"/>
      <c r="E118" s="959"/>
      <c r="F118" s="959"/>
      <c r="G118" s="961"/>
      <c r="H118" s="205" t="s">
        <v>66</v>
      </c>
      <c r="I118" s="1007">
        <v>1</v>
      </c>
      <c r="J118" s="1007">
        <f>J440</f>
        <v>1</v>
      </c>
      <c r="K118" s="964">
        <f>IF(I118&gt;0,J118*100/I118,0)</f>
        <v>100</v>
      </c>
      <c r="L118" s="964"/>
      <c r="M118" s="964"/>
      <c r="N118" s="964"/>
      <c r="O118" s="964"/>
      <c r="P118" s="964"/>
    </row>
    <row r="119" spans="1:26" ht="19.5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26800</v>
      </c>
      <c r="M119" s="972">
        <f t="shared" ca="1" si="60"/>
        <v>26800</v>
      </c>
      <c r="N119" s="972">
        <f t="shared" ca="1" si="60"/>
        <v>26800</v>
      </c>
      <c r="O119" s="972">
        <f t="shared" ref="O119:O127" ca="1" si="61">IF(L119&gt;0,N119*100/L119,0)</f>
        <v>100</v>
      </c>
      <c r="P119" s="972">
        <f t="shared" ref="P119:P127" ca="1" si="62">IF(M119&gt;0,N119*100/M119,0)</f>
        <v>100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26800</v>
      </c>
      <c r="M121" s="870">
        <f t="shared" ca="1" si="63"/>
        <v>26800</v>
      </c>
      <c r="N121" s="870">
        <f t="shared" ca="1" si="63"/>
        <v>26800</v>
      </c>
      <c r="O121" s="870">
        <f t="shared" ca="1" si="61"/>
        <v>100</v>
      </c>
      <c r="P121" s="870">
        <f t="shared" ca="1" si="62"/>
        <v>100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IFERROR(__xludf.DUMMYFUNCTION("IMPORTRANGE(""https://docs.google.com/spreadsheets/d/1MeEWN-I1oV_STSDYn1IFDPWt_1FKiwhDph83XaGc0o0/edit?usp=sharing"",""งบพรบ!BA41"")"),0)</f>
        <v>0</v>
      </c>
      <c r="M124" s="870">
        <f ca="1">IFERROR(__xludf.DUMMYFUNCTION("IMPORTRANGE(""https://docs.google.com/spreadsheets/d/1MeEWN-I1oV_STSDYn1IFDPWt_1FKiwhDph83XaGc0o0/edit?usp=sharing"",""งบพรบ!BF41"")"),0)</f>
        <v>0</v>
      </c>
      <c r="N124" s="870">
        <f ca="1">IFERROR(__xludf.DUMMYFUNCTION("IMPORTRANGE(""https://docs.google.com/spreadsheets/d/1MeEWN-I1oV_STSDYn1IFDPWt_1FKiwhDph83XaGc0o0/edit?usp=sharing"",""งบพรบ!BH41"")"),0)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26800</v>
      </c>
      <c r="M125" s="864">
        <f t="shared" ca="1" si="65"/>
        <v>26800</v>
      </c>
      <c r="N125" s="864">
        <f t="shared" ca="1" si="65"/>
        <v>26800</v>
      </c>
      <c r="O125" s="864">
        <f t="shared" ca="1" si="61"/>
        <v>100</v>
      </c>
      <c r="P125" s="864">
        <f t="shared" ca="1" si="62"/>
        <v>100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IFERROR(__xludf.DUMMYFUNCTION("IMPORTRANGE(""https://docs.google.com/spreadsheets/d/1MeEWN-I1oV_STSDYn1IFDPWt_1FKiwhDph83XaGc0o0/edit?usp=sharing"",""งบพรบ!BD41"")"),26800)</f>
        <v>26800</v>
      </c>
      <c r="M127" s="870">
        <f ca="1">IFERROR(__xludf.DUMMYFUNCTION("IMPORTRANGE(""https://docs.google.com/spreadsheets/d/1MeEWN-I1oV_STSDYn1IFDPWt_1FKiwhDph83XaGc0o0/edit?usp=sharing"",""งบพรบ!BG41"")"),26800)</f>
        <v>26800</v>
      </c>
      <c r="N127" s="870">
        <f ca="1">IFERROR(__xludf.DUMMYFUNCTION("IMPORTRANGE(""https://docs.google.com/spreadsheets/d/1MeEWN-I1oV_STSDYn1IFDPWt_1FKiwhDph83XaGc0o0/edit?usp=sharing"",""งบพรบ!BI41"")"),26800)</f>
        <v>26800</v>
      </c>
      <c r="O127" s="870">
        <f t="shared" ca="1" si="61"/>
        <v>100</v>
      </c>
      <c r="P127" s="870">
        <f t="shared" ca="1" si="62"/>
        <v>100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1</v>
      </c>
      <c r="J130" s="962">
        <f t="shared" si="66"/>
        <v>1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10</v>
      </c>
      <c r="J131" s="962">
        <f t="shared" ca="1" si="68"/>
        <v>10</v>
      </c>
      <c r="K131" s="963">
        <f t="shared" ca="1" si="67"/>
        <v>100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489055</v>
      </c>
      <c r="M132" s="972">
        <f t="shared" ca="1" si="69"/>
        <v>399950</v>
      </c>
      <c r="N132" s="972">
        <f t="shared" ca="1" si="69"/>
        <v>290289</v>
      </c>
      <c r="O132" s="972">
        <f t="shared" ref="O132:O140" ca="1" si="70">IF(L132&gt;0,N132*100/L132,0)</f>
        <v>59.357127521444419</v>
      </c>
      <c r="P132" s="972">
        <f t="shared" ref="P132:P140" ca="1" si="71">IF(M132&gt;0,N132*100/M132,0)</f>
        <v>72.581322665333161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489055</v>
      </c>
      <c r="M134" s="870">
        <f t="shared" ca="1" si="72"/>
        <v>399950</v>
      </c>
      <c r="N134" s="870">
        <f t="shared" ca="1" si="72"/>
        <v>290289</v>
      </c>
      <c r="O134" s="870">
        <f t="shared" ca="1" si="70"/>
        <v>59.357127521444419</v>
      </c>
      <c r="P134" s="870">
        <f t="shared" ca="1" si="71"/>
        <v>72.581322665333161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386055</v>
      </c>
      <c r="M135" s="864">
        <f t="shared" ca="1" si="73"/>
        <v>296950</v>
      </c>
      <c r="N135" s="864">
        <f t="shared" ca="1" si="73"/>
        <v>187289</v>
      </c>
      <c r="O135" s="864">
        <f t="shared" ca="1" si="70"/>
        <v>48.513553768245458</v>
      </c>
      <c r="P135" s="864">
        <f t="shared" ca="1" si="71"/>
        <v>63.070887354773532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IFERROR(__xludf.DUMMYFUNCTION("IMPORTRANGE(""https://docs.google.com/spreadsheets/d/1MeEWN-I1oV_STSDYn1IFDPWt_1FKiwhDph83XaGc0o0/edit?usp=sharing"",""งบพรบ!BK41"")"),386055)</f>
        <v>386055</v>
      </c>
      <c r="M137" s="870">
        <f ca="1">IFERROR(__xludf.DUMMYFUNCTION("IMPORTRANGE(""https://docs.google.com/spreadsheets/d/1MeEWN-I1oV_STSDYn1IFDPWt_1FKiwhDph83XaGc0o0/edit?usp=sharing"",""งบพรบ!BP41"")"),296950)</f>
        <v>296950</v>
      </c>
      <c r="N137" s="870">
        <f ca="1">IFERROR(__xludf.DUMMYFUNCTION("IMPORTRANGE(""https://docs.google.com/spreadsheets/d/1MeEWN-I1oV_STSDYn1IFDPWt_1FKiwhDph83XaGc0o0/edit?usp=sharing"",""งบพรบ!BR41"")"),187289)</f>
        <v>187289</v>
      </c>
      <c r="O137" s="870">
        <f t="shared" ca="1" si="70"/>
        <v>48.513553768245458</v>
      </c>
      <c r="P137" s="870">
        <f t="shared" ca="1" si="71"/>
        <v>63.070887354773532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103000</v>
      </c>
      <c r="M138" s="864">
        <f t="shared" ca="1" si="74"/>
        <v>103000</v>
      </c>
      <c r="N138" s="864">
        <f t="shared" ca="1" si="74"/>
        <v>103000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IFERROR(__xludf.DUMMYFUNCTION("IMPORTRANGE(""https://docs.google.com/spreadsheets/d/1MeEWN-I1oV_STSDYn1IFDPWt_1FKiwhDph83XaGc0o0/edit?usp=sharing"",""งบพรบ!BN41"")"),103000)</f>
        <v>103000</v>
      </c>
      <c r="M140" s="870">
        <f ca="1">IFERROR(__xludf.DUMMYFUNCTION("IMPORTRANGE(""https://docs.google.com/spreadsheets/d/1MeEWN-I1oV_STSDYn1IFDPWt_1FKiwhDph83XaGc0o0/edit?usp=sharing"",""งบพรบ!BQ41"")"),103000)</f>
        <v>103000</v>
      </c>
      <c r="N140" s="870">
        <f ca="1">IFERROR(__xludf.DUMMYFUNCTION("IMPORTRANGE(""https://docs.google.com/spreadsheets/d/1MeEWN-I1oV_STSDYn1IFDPWt_1FKiwhDph83XaGc0o0/edit?usp=sharing"",""งบพรบ!BS41"")"),103000)</f>
        <v>103000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10</v>
      </c>
      <c r="J143" s="863">
        <f ca="1">IF(AND(J144&gt;=I144,J145&gt;=I145),J145,0)</f>
        <v>10</v>
      </c>
      <c r="K143" s="864">
        <f t="shared" ref="K143:K146" ca="1" si="75">IF(I143&gt;0,J143*100/I143,0)</f>
        <v>100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IFERROR(__xludf.DUMMYFUNCTION("IMPORTRANGE(""https://docs.google.com/spreadsheets/d/1QqKyyYR6Q21VydFLVH3TRQUabQu_ym0Zz7PgGX0-kHA/edit?usp=sharing"",""แผน!U41"")"),5)</f>
        <v>5</v>
      </c>
      <c r="J144" s="992">
        <v>10</v>
      </c>
      <c r="K144" s="864">
        <f t="shared" ca="1" si="75"/>
        <v>200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IFERROR(__xludf.DUMMYFUNCTION("IMPORTRANGE(""https://docs.google.com/spreadsheets/d/1QqKyyYR6Q21VydFLVH3TRQUabQu_ym0Zz7PgGX0-kHA/edit?usp=sharing"",""แผน!V41"")"),10)</f>
        <v>10</v>
      </c>
      <c r="J145" s="992">
        <v>10</v>
      </c>
      <c r="K145" s="864">
        <f t="shared" ca="1" si="75"/>
        <v>100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IFERROR(__xludf.DUMMYFUNCTION("IMPORTRANGE(""https://docs.google.com/spreadsheets/d/1QqKyyYR6Q21VydFLVH3TRQUabQu_ym0Zz7PgGX0-kHA/edit?usp=sharing"",""แผน!W41"")"),1)</f>
        <v>1</v>
      </c>
      <c r="J146" s="992">
        <v>1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7840</v>
      </c>
      <c r="N149" s="972">
        <f t="shared" ca="1" si="77"/>
        <v>2194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27.98469387755102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7840</v>
      </c>
      <c r="N151" s="870">
        <f t="shared" ca="1" si="80"/>
        <v>2194</v>
      </c>
      <c r="O151" s="870">
        <f t="shared" ca="1" si="78"/>
        <v>0</v>
      </c>
      <c r="P151" s="870">
        <f t="shared" ca="1" si="79"/>
        <v>27.98469387755102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7840</v>
      </c>
      <c r="N152" s="864">
        <f t="shared" ca="1" si="81"/>
        <v>2194</v>
      </c>
      <c r="O152" s="864">
        <f t="shared" ca="1" si="78"/>
        <v>0</v>
      </c>
      <c r="P152" s="864">
        <f t="shared" ca="1" si="79"/>
        <v>27.98469387755102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IFERROR(__xludf.DUMMYFUNCTION("IMPORTRANGE(""https://docs.google.com/spreadsheets/d/1MeEWN-I1oV_STSDYn1IFDPWt_1FKiwhDph83XaGc0o0/edit?usp=sharing"",""งบพรบ!BU41"")"),0)</f>
        <v>0</v>
      </c>
      <c r="M154" s="870">
        <f ca="1">IFERROR(__xludf.DUMMYFUNCTION("IMPORTRANGE(""https://docs.google.com/spreadsheets/d/1MeEWN-I1oV_STSDYn1IFDPWt_1FKiwhDph83XaGc0o0/edit?usp=sharing"",""งบพรบ!BZ41"")"),7840)</f>
        <v>7840</v>
      </c>
      <c r="N154" s="870">
        <f ca="1">IFERROR(__xludf.DUMMYFUNCTION("IMPORTRANGE(""https://docs.google.com/spreadsheets/d/1MeEWN-I1oV_STSDYn1IFDPWt_1FKiwhDph83XaGc0o0/edit?usp=sharing"",""งบพรบ!CB41"")"),2194)</f>
        <v>2194</v>
      </c>
      <c r="O154" s="870">
        <f t="shared" ca="1" si="78"/>
        <v>0</v>
      </c>
      <c r="P154" s="870">
        <f t="shared" ca="1" si="79"/>
        <v>27.98469387755102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IFERROR(__xludf.DUMMYFUNCTION("IMPORTRANGE(""https://docs.google.com/spreadsheets/d/1MeEWN-I1oV_STSDYn1IFDPWt_1FKiwhDph83XaGc0o0/edit?usp=sharing"",""งบพรบ!BX41"")"),0)</f>
        <v>0</v>
      </c>
      <c r="M157" s="870">
        <f ca="1">IFERROR(__xludf.DUMMYFUNCTION("IMPORTRANGE(""https://docs.google.com/spreadsheets/d/1MeEWN-I1oV_STSDYn1IFDPWt_1FKiwhDph83XaGc0o0/edit?usp=sharing"",""งบพรบ!CA41"")"),0)</f>
        <v>0</v>
      </c>
      <c r="N157" s="870">
        <f ca="1">IFERROR(__xludf.DUMMYFUNCTION("IMPORTRANGE(""https://docs.google.com/spreadsheets/d/1MeEWN-I1oV_STSDYn1IFDPWt_1FKiwhDph83XaGc0o0/edit?usp=sharing"",""งบพรบ!CC41"")"),0)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IFERROR(__xludf.DUMMYFUNCTION("IMPORTRANGE(""https://docs.google.com/spreadsheets/d/1QqKyyYR6Q21VydFLVH3TRQUabQu_ym0Zz7PgGX0-kHA/edit?usp=sharing"",""แผน!X41"")"),0)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22055</v>
      </c>
      <c r="N165" s="972">
        <f t="shared" ca="1" si="84"/>
        <v>22055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22055</v>
      </c>
      <c r="N167" s="870">
        <f t="shared" ca="1" si="87"/>
        <v>22055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22055</v>
      </c>
      <c r="N168" s="864">
        <f t="shared" ca="1" si="88"/>
        <v>22055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IFERROR(__xludf.DUMMYFUNCTION("IMPORTRANGE(""https://docs.google.com/spreadsheets/d/1MeEWN-I1oV_STSDYn1IFDPWt_1FKiwhDph83XaGc0o0/edit?usp=sharing"",""งบพรบ!CE41"")"),22055)</f>
        <v>22055</v>
      </c>
      <c r="M170" s="870">
        <f ca="1">IFERROR(__xludf.DUMMYFUNCTION("IMPORTRANGE(""https://docs.google.com/spreadsheets/d/1MeEWN-I1oV_STSDYn1IFDPWt_1FKiwhDph83XaGc0o0/edit?usp=sharing"",""งบพรบ!CJ41"")"),22055)</f>
        <v>22055</v>
      </c>
      <c r="N170" s="870">
        <f ca="1">IFERROR(__xludf.DUMMYFUNCTION("IMPORTRANGE(""https://docs.google.com/spreadsheets/d/1MeEWN-I1oV_STSDYn1IFDPWt_1FKiwhDph83XaGc0o0/edit?usp=sharing"",""งบพรบ!CL41"")"),22055)</f>
        <v>22055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IFERROR(__xludf.DUMMYFUNCTION("IMPORTRANGE(""https://docs.google.com/spreadsheets/d/1MeEWN-I1oV_STSDYn1IFDPWt_1FKiwhDph83XaGc0o0/edit?usp=sharing"",""งบพรบ!CH41"")"),0)</f>
        <v>0</v>
      </c>
      <c r="M173" s="870">
        <f ca="1">IFERROR(__xludf.DUMMYFUNCTION("IMPORTRANGE(""https://docs.google.com/spreadsheets/d/1MeEWN-I1oV_STSDYn1IFDPWt_1FKiwhDph83XaGc0o0/edit?usp=sharing"",""งบพรบ!CK41"")"),0)</f>
        <v>0</v>
      </c>
      <c r="N173" s="870">
        <f ca="1">IFERROR(__xludf.DUMMYFUNCTION("IMPORTRANGE(""https://docs.google.com/spreadsheets/d/1MeEWN-I1oV_STSDYn1IFDPWt_1FKiwhDph83XaGc0o0/edit?usp=sharing"",""งบพรบ!CM41"")"),0)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IFERROR(__xludf.DUMMYFUNCTION("IMPORTRANGE(""https://docs.google.com/spreadsheets/d/1QqKyyYR6Q21VydFLVH3TRQUabQu_ym0Zz7PgGX0-kHA/edit?usp=sharing"",""แผน!Y41"")"),11)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72500</v>
      </c>
      <c r="M181" s="972">
        <f t="shared" ca="1" si="92"/>
        <v>62500</v>
      </c>
      <c r="N181" s="972">
        <f t="shared" ca="1" si="92"/>
        <v>35000</v>
      </c>
      <c r="O181" s="972">
        <f t="shared" ref="O181:O189" ca="1" si="93">IF(L181&gt;0,N181*100/L181,0)</f>
        <v>48.275862068965516</v>
      </c>
      <c r="P181" s="972">
        <f t="shared" ref="P181:P189" ca="1" si="94">IF(M181&gt;0,N181*100/M181,0)</f>
        <v>56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72500</v>
      </c>
      <c r="M183" s="870">
        <f t="shared" ca="1" si="95"/>
        <v>62500</v>
      </c>
      <c r="N183" s="870">
        <f t="shared" ca="1" si="95"/>
        <v>35000</v>
      </c>
      <c r="O183" s="870">
        <f t="shared" ca="1" si="93"/>
        <v>48.275862068965516</v>
      </c>
      <c r="P183" s="870">
        <f t="shared" ca="1" si="94"/>
        <v>56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72500</v>
      </c>
      <c r="M184" s="864">
        <f t="shared" ca="1" si="96"/>
        <v>62500</v>
      </c>
      <c r="N184" s="864">
        <f t="shared" ca="1" si="96"/>
        <v>35000</v>
      </c>
      <c r="O184" s="864">
        <f t="shared" ca="1" si="93"/>
        <v>48.275862068965516</v>
      </c>
      <c r="P184" s="864">
        <f t="shared" ca="1" si="94"/>
        <v>56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IFERROR(__xludf.DUMMYFUNCTION("IMPORTRANGE(""https://docs.google.com/spreadsheets/d/1MeEWN-I1oV_STSDYn1IFDPWt_1FKiwhDph83XaGc0o0/edit?usp=sharing"",""งบพรบ!CO41"")"),72500)</f>
        <v>72500</v>
      </c>
      <c r="M186" s="870">
        <f ca="1">IFERROR(__xludf.DUMMYFUNCTION("IMPORTRANGE(""https://docs.google.com/spreadsheets/d/1MeEWN-I1oV_STSDYn1IFDPWt_1FKiwhDph83XaGc0o0/edit?usp=sharing"",""งบพรบ!CT41"")"),62500)</f>
        <v>62500</v>
      </c>
      <c r="N186" s="870">
        <f ca="1">IFERROR(__xludf.DUMMYFUNCTION("IMPORTRANGE(""https://docs.google.com/spreadsheets/d/1MeEWN-I1oV_STSDYn1IFDPWt_1FKiwhDph83XaGc0o0/edit?usp=sharing"",""งบพรบ!CV41"")"),35000)</f>
        <v>35000</v>
      </c>
      <c r="O186" s="870">
        <f t="shared" ca="1" si="93"/>
        <v>48.275862068965516</v>
      </c>
      <c r="P186" s="870">
        <f t="shared" ca="1" si="94"/>
        <v>56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IFERROR(__xludf.DUMMYFUNCTION("IMPORTRANGE(""https://docs.google.com/spreadsheets/d/1MeEWN-I1oV_STSDYn1IFDPWt_1FKiwhDph83XaGc0o0/edit?usp=sharing"",""งบพรบ!CR41"")"),0)</f>
        <v>0</v>
      </c>
      <c r="M189" s="870">
        <f ca="1">IFERROR(__xludf.DUMMYFUNCTION("IMPORTRANGE(""https://docs.google.com/spreadsheets/d/1MeEWN-I1oV_STSDYn1IFDPWt_1FKiwhDph83XaGc0o0/edit?usp=sharing"",""งบพรบ!CU41"")"),0)</f>
        <v>0</v>
      </c>
      <c r="N189" s="870">
        <f ca="1">IFERROR(__xludf.DUMMYFUNCTION("IMPORTRANGE(""https://docs.google.com/spreadsheets/d/1MeEWN-I1oV_STSDYn1IFDPWt_1FKiwhDph83XaGc0o0/edit?usp=sharing"",""งบพรบ!CW41"")"),0)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IFERROR(__xludf.DUMMYFUNCTION("IMPORTRANGE(""https://docs.google.com/spreadsheets/d/1QqKyyYR6Q21VydFLVH3TRQUabQu_ym0Zz7PgGX0-kHA/edit?usp=sharing"",""แผน!Z41"")"),6000)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IFERROR(__xludf.DUMMYFUNCTION("IMPORTRANGE(""https://docs.google.com/spreadsheets/d/1QqKyyYR6Q21VydFLVH3TRQUabQu_ym0Zz7PgGX0-kHA/edit?usp=sharing"",""แผน!AC41"")"),4)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10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10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27000</v>
      </c>
      <c r="O198" s="972">
        <f ca="1">IF(L198&gt;0,N198*100/L198,0)</f>
        <v>69.230769230769226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IFERROR(__xludf.DUMMYFUNCTION("IMPORTRANGE(""https://docs.google.com/spreadsheets/d/1QqKyyYR6Q21VydFLVH3TRQUabQu_ym0Zz7PgGX0-kHA/edit?usp=sharing"",""แผน!AE41"")"),3000)</f>
        <v>3000</v>
      </c>
      <c r="M199" s="864"/>
      <c r="N199" s="1064">
        <v>3000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IFERROR(__xludf.DUMMYFUNCTION("IMPORTRANGE(""https://docs.google.com/spreadsheets/d/1QqKyyYR6Q21VydFLVH3TRQUabQu_ym0Zz7PgGX0-kHA/edit?usp=sharing"",""แผน!AF41"")"),24000)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IFERROR(__xludf.DUMMYFUNCTION("IMPORTRANGE(""https://docs.google.com/spreadsheets/d/1QqKyyYR6Q21VydFLVH3TRQUabQu_ym0Zz7PgGX0-kHA/edit?usp=sharing"",""แผน!AG41"")"),12000)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IFERROR(__xludf.DUMMYFUNCTION("IMPORTRANGE(""https://docs.google.com/spreadsheets/d/1QqKyyYR6Q21VydFLVH3TRQUabQu_ym0Zz7PgGX0-kHA/edit?usp=sharing"",""แผน!AH41"")"),0)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IFERROR(__xludf.DUMMYFUNCTION("IMPORTRANGE(""https://docs.google.com/spreadsheets/d/1QqKyyYR6Q21VydFLVH3TRQUabQu_ym0Zz7PgGX0-kHA/edit?usp=sharing"",""แผน!AI41"")"),3)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8000</v>
      </c>
      <c r="O209" s="972">
        <f ca="1">IF(L209&gt;0,N209*100/L209,0)</f>
        <v>57.142857142857146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IFERROR(__xludf.DUMMYFUNCTION("IMPORTRANGE(""https://docs.google.com/spreadsheets/d/1QqKyyYR6Q21VydFLVH3TRQUabQu_ym0Zz7PgGX0-kHA/edit?usp=sharing"",""แผน!AK41"")"),1000)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IFERROR(__xludf.DUMMYFUNCTION("IMPORTRANGE(""https://docs.google.com/spreadsheets/d/1QqKyyYR6Q21VydFLVH3TRQUabQu_ym0Zz7PgGX0-kHA/edit?usp=sharing"",""แผน!AL41"")"),5000)</f>
        <v>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IFERROR(__xludf.DUMMYFUNCTION("IMPORTRANGE(""https://docs.google.com/spreadsheets/d/1QqKyyYR6Q21VydFLVH3TRQUabQu_ym0Zz7PgGX0-kHA/edit?usp=sharing"",""แผน!AM41"")"),8000)</f>
        <v>8000</v>
      </c>
      <c r="M212" s="864"/>
      <c r="N212" s="1064">
        <v>8000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IFERROR(__xludf.DUMMYFUNCTION("IMPORTRANGE(""https://docs.google.com/spreadsheets/d/1QqKyyYR6Q21VydFLVH3TRQUabQu_ym0Zz7PgGX0-kHA/edit?usp=sharing"",""แผน!AN41"")"),1)</f>
        <v>1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IFERROR(__xludf.DUMMYFUNCTION("IMPORTRANGE(""https://docs.google.com/spreadsheets/d/1QqKyyYR6Q21VydFLVH3TRQUabQu_ym0Zz7PgGX0-kHA/edit?usp=sharing"",""แผน!AN41"")"),1)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30000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13500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IFERROR(__xludf.DUMMYFUNCTION("IMPORTRANGE(""https://docs.google.com/spreadsheets/d/1QqKyyYR6Q21VydFLVH3TRQUabQu_ym0Zz7PgGX0-kHA/edit?usp=sharing"",""แผน!AP41"")"),5000)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IFERROR(__xludf.DUMMYFUNCTION("IMPORTRANGE(""https://docs.google.com/spreadsheets/d/1QqKyyYR6Q21VydFLVH3TRQUabQu_ym0Zz7PgGX0-kHA/edit?usp=sharing"",""แผน!AQ41"")"),8500)</f>
        <v>8500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IFERROR(__xludf.DUMMYFUNCTION("IMPORTRANGE(""https://docs.google.com/spreadsheets/d/1QqKyyYR6Q21VydFLVH3TRQUabQu_ym0Zz7PgGX0-kHA/edit?usp=sharing"",""แผน!AR41"")"),0)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IFERROR(__xludf.DUMMYFUNCTION("IMPORTRANGE(""https://docs.google.com/spreadsheets/d/1QqKyyYR6Q21VydFLVH3TRQUabQu_ym0Zz7PgGX0-kHA/edit?usp=sharing"",""แผน!AT41"")"),30000)</f>
        <v>30000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IFERROR(__xludf.DUMMYFUNCTION("IMPORTRANGE(""https://docs.google.com/spreadsheets/d/1QqKyyYR6Q21VydFLVH3TRQUabQu_ym0Zz7PgGX0-kHA/edit?usp=sharing"",""แผน!AT41"")"),30000)</f>
        <v>30000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IFERROR(__xludf.DUMMYFUNCTION("IMPORTRANGE(""https://docs.google.com/spreadsheets/d/1QqKyyYR6Q21VydFLVH3TRQUabQu_ym0Zz7PgGX0-kHA/edit?usp=sharing"",""แผน!AS41"")"),0)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IFERROR(__xludf.DUMMYFUNCTION("IMPORTRANGE(""https://docs.google.com/spreadsheets/d/1QqKyyYR6Q21VydFLVH3TRQUabQu_ym0Zz7PgGX0-kHA/edit?usp=sharing"",""แผน!AV41"")"),0)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IFERROR(__xludf.DUMMYFUNCTION("IMPORTRANGE(""https://docs.google.com/spreadsheets/d/1QqKyyYR6Q21VydFLVH3TRQUabQu_ym0Zz7PgGX0-kHA/edit?usp=sharing"",""แผน!AW41"")"),0)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IFERROR(__xludf.DUMMYFUNCTION("IMPORTRANGE(""https://docs.google.com/spreadsheets/d/1QqKyyYR6Q21VydFLVH3TRQUabQu_ym0Zz7PgGX0-kHA/edit?usp=sharing"",""แผน!AX41"")"),0)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IFERROR(__xludf.DUMMYFUNCTION("IMPORTRANGE(""https://docs.google.com/spreadsheets/d/1QqKyyYR6Q21VydFLVH3TRQUabQu_ym0Zz7PgGX0-kHA/edit?usp=sharing"",""แผน!AY41"")"),0)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IFERROR(__xludf.DUMMYFUNCTION("IMPORTRANGE(""https://docs.google.com/spreadsheets/d/1QqKyyYR6Q21VydFLVH3TRQUabQu_ym0Zz7PgGX0-kHA/edit?usp=sharing"",""แผน!BE41"")"),0)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IFERROR(__xludf.DUMMYFUNCTION("IMPORTRANGE(""https://docs.google.com/spreadsheets/d/1QqKyyYR6Q21VydFLVH3TRQUabQu_ym0Zz7PgGX0-kHA/edit?usp=sharing"",""แผน!AZ41"")"),0)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IFERROR(__xludf.DUMMYFUNCTION("IMPORTRANGE(""https://docs.google.com/spreadsheets/d/1QqKyyYR6Q21VydFLVH3TRQUabQu_ym0Zz7PgGX0-kHA/edit?usp=sharing"",""แผน!BA41"")"),0)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IFERROR(__xludf.DUMMYFUNCTION("IMPORTRANGE(""https://docs.google.com/spreadsheets/d/1QqKyyYR6Q21VydFLVH3TRQUabQu_ym0Zz7PgGX0-kHA/edit?usp=sharing"",""แผน!BB41"")"),0)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IFERROR(__xludf.DUMMYFUNCTION("IMPORTRANGE(""https://docs.google.com/spreadsheets/d/1QqKyyYR6Q21VydFLVH3TRQUabQu_ym0Zz7PgGX0-kHA/edit?usp=sharing"",""แผน!BC41"")"),0)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IFERROR(__xludf.DUMMYFUNCTION("IMPORTRANGE(""https://docs.google.com/spreadsheets/d/1QqKyyYR6Q21VydFLVH3TRQUabQu_ym0Zz7PgGX0-kHA/edit?usp=sharing"",""แผน!BF41"")"),0)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15680</v>
      </c>
      <c r="O261" s="972">
        <f t="shared" ref="O261:O269" ca="1" si="117">IF(L261&gt;0,N261*100/L261,0)</f>
        <v>58.289962825278813</v>
      </c>
      <c r="P261" s="972">
        <f t="shared" ref="P261:P269" ca="1" si="118">IF(M261&gt;0,N261*100/M261,0)</f>
        <v>65.606694560669453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15680</v>
      </c>
      <c r="O263" s="870">
        <f t="shared" ca="1" si="117"/>
        <v>58.289962825278813</v>
      </c>
      <c r="P263" s="870">
        <f t="shared" ca="1" si="118"/>
        <v>65.606694560669453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15680</v>
      </c>
      <c r="O264" s="864">
        <f t="shared" ca="1" si="117"/>
        <v>58.289962825278813</v>
      </c>
      <c r="P264" s="864">
        <f t="shared" ca="1" si="118"/>
        <v>65.606694560669453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IFERROR(__xludf.DUMMYFUNCTION("IMPORTRANGE(""https://docs.google.com/spreadsheets/d/1MeEWN-I1oV_STSDYn1IFDPWt_1FKiwhDph83XaGc0o0/edit?usp=sharing"",""งบพรบ!CY41"")"),26900)</f>
        <v>26900</v>
      </c>
      <c r="M266" s="870">
        <f ca="1">IFERROR(__xludf.DUMMYFUNCTION("IMPORTRANGE(""https://docs.google.com/spreadsheets/d/1MeEWN-I1oV_STSDYn1IFDPWt_1FKiwhDph83XaGc0o0/edit?usp=sharing"",""งบพรบ!DD41"")"),23900)</f>
        <v>23900</v>
      </c>
      <c r="N266" s="870">
        <f ca="1">IFERROR(__xludf.DUMMYFUNCTION("IMPORTRANGE(""https://docs.google.com/spreadsheets/d/1MeEWN-I1oV_STSDYn1IFDPWt_1FKiwhDph83XaGc0o0/edit?usp=sharing"",""งบพรบ!DF41"")"),15680)</f>
        <v>15680</v>
      </c>
      <c r="O266" s="870">
        <f t="shared" ca="1" si="117"/>
        <v>58.289962825278813</v>
      </c>
      <c r="P266" s="870">
        <f t="shared" ca="1" si="118"/>
        <v>65.606694560669453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IFERROR(__xludf.DUMMYFUNCTION("IMPORTRANGE(""https://docs.google.com/spreadsheets/d/1MeEWN-I1oV_STSDYn1IFDPWt_1FKiwhDph83XaGc0o0/edit?usp=sharing"",""งบพรบ!DB41"")"),0)</f>
        <v>0</v>
      </c>
      <c r="M269" s="870">
        <f ca="1">IFERROR(__xludf.DUMMYFUNCTION("IMPORTRANGE(""https://docs.google.com/spreadsheets/d/1MeEWN-I1oV_STSDYn1IFDPWt_1FKiwhDph83XaGc0o0/edit?usp=sharing"",""งบพรบ!DE41"")"),0)</f>
        <v>0</v>
      </c>
      <c r="N269" s="870">
        <f ca="1">IFERROR(__xludf.DUMMYFUNCTION("IMPORTRANGE(""https://docs.google.com/spreadsheets/d/1MeEWN-I1oV_STSDYn1IFDPWt_1FKiwhDph83XaGc0o0/edit?usp=sharing"",""งบพรบ!DG41"")"),0)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IFERROR(__xludf.DUMMYFUNCTION("IMPORTRANGE(""https://docs.google.com/spreadsheets/d/1QqKyyYR6Q21VydFLVH3TRQUabQu_ym0Zz7PgGX0-kHA/edit?usp=sharing"",""แผน!EA41"")"),22)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5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50</v>
      </c>
      <c r="J276" s="1141">
        <f t="shared" si="124"/>
        <v>50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22630</v>
      </c>
      <c r="M277" s="972">
        <f t="shared" ca="1" si="125"/>
        <v>13100</v>
      </c>
      <c r="N277" s="972">
        <f t="shared" ca="1" si="125"/>
        <v>5160</v>
      </c>
      <c r="O277" s="972">
        <f t="shared" ref="O277:O285" ca="1" si="126">IF(L277&gt;0,N277*100/L277,0)</f>
        <v>22.801590808661068</v>
      </c>
      <c r="P277" s="972">
        <f t="shared" ref="P277:P285" ca="1" si="127">IF(M277&gt;0,N277*100/M277,0)</f>
        <v>39.389312977099237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22630</v>
      </c>
      <c r="M279" s="870">
        <f t="shared" ca="1" si="128"/>
        <v>13100</v>
      </c>
      <c r="N279" s="870">
        <f t="shared" ca="1" si="128"/>
        <v>5160</v>
      </c>
      <c r="O279" s="870">
        <f t="shared" ca="1" si="126"/>
        <v>22.801590808661068</v>
      </c>
      <c r="P279" s="870">
        <f t="shared" ca="1" si="127"/>
        <v>39.389312977099237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22630</v>
      </c>
      <c r="M280" s="864">
        <f t="shared" ca="1" si="129"/>
        <v>13100</v>
      </c>
      <c r="N280" s="864">
        <f t="shared" ca="1" si="129"/>
        <v>5160</v>
      </c>
      <c r="O280" s="864">
        <f t="shared" ca="1" si="126"/>
        <v>22.801590808661068</v>
      </c>
      <c r="P280" s="864">
        <f t="shared" ca="1" si="127"/>
        <v>39.389312977099237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IFERROR(__xludf.DUMMYFUNCTION("IMPORTRANGE(""https://docs.google.com/spreadsheets/d/1MeEWN-I1oV_STSDYn1IFDPWt_1FKiwhDph83XaGc0o0/edit?usp=sharing"",""งบพรบ!DI41"")"),22630)</f>
        <v>22630</v>
      </c>
      <c r="M282" s="870">
        <f ca="1">IFERROR(__xludf.DUMMYFUNCTION("IMPORTRANGE(""https://docs.google.com/spreadsheets/d/1MeEWN-I1oV_STSDYn1IFDPWt_1FKiwhDph83XaGc0o0/edit?usp=sharing"",""งบพรบ!DN41"")"),13100)</f>
        <v>13100</v>
      </c>
      <c r="N282" s="870">
        <f ca="1">IFERROR(__xludf.DUMMYFUNCTION("IMPORTRANGE(""https://docs.google.com/spreadsheets/d/1MeEWN-I1oV_STSDYn1IFDPWt_1FKiwhDph83XaGc0o0/edit?usp=sharing"",""งบพรบ!DP41"")"),5160)</f>
        <v>5160</v>
      </c>
      <c r="O282" s="870">
        <f t="shared" ca="1" si="126"/>
        <v>22.801590808661068</v>
      </c>
      <c r="P282" s="870">
        <f t="shared" ca="1" si="127"/>
        <v>39.389312977099237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IFERROR(__xludf.DUMMYFUNCTION("IMPORTRANGE(""https://docs.google.com/spreadsheets/d/1MeEWN-I1oV_STSDYn1IFDPWt_1FKiwhDph83XaGc0o0/edit?usp=sharing"",""งบพรบ!DL41"")"),0)</f>
        <v>0</v>
      </c>
      <c r="M285" s="870">
        <f ca="1">IFERROR(__xludf.DUMMYFUNCTION("IMPORTRANGE(""https://docs.google.com/spreadsheets/d/1MeEWN-I1oV_STSDYn1IFDPWt_1FKiwhDph83XaGc0o0/edit?usp=sharing"",""งบพรบ!DO41"")"),0)</f>
        <v>0</v>
      </c>
      <c r="N285" s="870">
        <f ca="1">IFERROR(__xludf.DUMMYFUNCTION("IMPORTRANGE(""https://docs.google.com/spreadsheets/d/1MeEWN-I1oV_STSDYn1IFDPWt_1FKiwhDph83XaGc0o0/edit?usp=sharing"",""งบพรบ!DQ41"")"),0)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IFERROR(__xludf.DUMMYFUNCTION("IMPORTRANGE(""https://docs.google.com/spreadsheets/d/1QqKyyYR6Q21VydFLVH3TRQUabQu_ym0Zz7PgGX0-kHA/edit?usp=sharing"",""แผน!EC41"")"),50)</f>
        <v>50</v>
      </c>
      <c r="J287" s="992">
        <v>50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IFERROR(__xludf.DUMMYFUNCTION("IMPORTRANGE(""https://docs.google.com/spreadsheets/d/1QqKyyYR6Q21VydFLVH3TRQUabQu_ym0Zz7PgGX0-kHA/edit?usp=sharing"",""แผน!EB41"")"),5)</f>
        <v>5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IFERROR(__xludf.DUMMYFUNCTION("IMPORTRANGE(""https://docs.google.com/spreadsheets/d/1QqKyyYR6Q21VydFLVH3TRQUabQu_ym0Zz7PgGX0-kHA/edit?usp=sharing"",""แผน!EB41"")"),5)</f>
        <v>5</v>
      </c>
      <c r="J290" s="992">
        <v>5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IFERROR(__xludf.DUMMYFUNCTION("IMPORTRANGE(""https://docs.google.com/spreadsheets/d/1QqKyyYR6Q21VydFLVH3TRQUabQu_ym0Zz7PgGX0-kHA/edit?usp=sharing"",""แผน!EB41"")"),5)</f>
        <v>5</v>
      </c>
      <c r="J291" s="992">
        <v>5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IFERROR(__xludf.DUMMYFUNCTION("IMPORTRANGE(""https://docs.google.com/spreadsheets/d/1QqKyyYR6Q21VydFLVH3TRQUabQu_ym0Zz7PgGX0-kHA/edit?usp=sharing"",""แผน!EB41"")"),5)</f>
        <v>5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IFERROR(__xludf.DUMMYFUNCTION("IMPORTRANGE(""https://docs.google.com/spreadsheets/d/1QqKyyYR6Q21VydFLVH3TRQUabQu_ym0Zz7PgGX0-kHA/edit?usp=sharing"",""แผน!EB41"")"),5)</f>
        <v>5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19500</v>
      </c>
      <c r="O298" s="972">
        <f t="shared" ref="O298:O306" ca="1" si="136">IF(L298&gt;0,N298*100/L298,0)</f>
        <v>23.66504854368932</v>
      </c>
      <c r="P298" s="972">
        <f t="shared" ref="P298:P306" ca="1" si="137">IF(M298&gt;0,N298*100/M298,0)</f>
        <v>30.279503105590063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19500</v>
      </c>
      <c r="O300" s="870">
        <f t="shared" ca="1" si="136"/>
        <v>23.66504854368932</v>
      </c>
      <c r="P300" s="870">
        <f t="shared" ca="1" si="137"/>
        <v>30.279503105590063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19500</v>
      </c>
      <c r="O301" s="864">
        <f t="shared" ca="1" si="136"/>
        <v>23.66504854368932</v>
      </c>
      <c r="P301" s="864">
        <f t="shared" ca="1" si="137"/>
        <v>30.279503105590063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IFERROR(__xludf.DUMMYFUNCTION("IMPORTRANGE(""https://docs.google.com/spreadsheets/d/1MeEWN-I1oV_STSDYn1IFDPWt_1FKiwhDph83XaGc0o0/edit?usp=sharing"",""งบพรบ!DS41"")"),82400)</f>
        <v>82400</v>
      </c>
      <c r="M303" s="870">
        <f ca="1">IFERROR(__xludf.DUMMYFUNCTION("IMPORTRANGE(""https://docs.google.com/spreadsheets/d/1MeEWN-I1oV_STSDYn1IFDPWt_1FKiwhDph83XaGc0o0/edit?usp=sharing"",""งบพรบ!DX41"")"),64400)</f>
        <v>64400</v>
      </c>
      <c r="N303" s="870">
        <f ca="1">IFERROR(__xludf.DUMMYFUNCTION("IMPORTRANGE(""https://docs.google.com/spreadsheets/d/1MeEWN-I1oV_STSDYn1IFDPWt_1FKiwhDph83XaGc0o0/edit?usp=sharing"",""งบพรบ!DZ41"")"),19500)</f>
        <v>19500</v>
      </c>
      <c r="O303" s="870">
        <f t="shared" ca="1" si="136"/>
        <v>23.66504854368932</v>
      </c>
      <c r="P303" s="870">
        <f t="shared" ca="1" si="137"/>
        <v>30.279503105590063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IFERROR(__xludf.DUMMYFUNCTION("IMPORTRANGE(""https://docs.google.com/spreadsheets/d/1MeEWN-I1oV_STSDYn1IFDPWt_1FKiwhDph83XaGc0o0/edit?usp=sharing"",""งบพรบ!DV41"")"),0)</f>
        <v>0</v>
      </c>
      <c r="M306" s="870">
        <f ca="1">IFERROR(__xludf.DUMMYFUNCTION("IMPORTRANGE(""https://docs.google.com/spreadsheets/d/1MeEWN-I1oV_STSDYn1IFDPWt_1FKiwhDph83XaGc0o0/edit?usp=sharing"",""งบพรบ!DY41"")"),0)</f>
        <v>0</v>
      </c>
      <c r="N306" s="870">
        <f ca="1">IFERROR(__xludf.DUMMYFUNCTION("IMPORTRANGE(""https://docs.google.com/spreadsheets/d/1MeEWN-I1oV_STSDYn1IFDPWt_1FKiwhDph83XaGc0o0/edit?usp=sharing"",""งบพรบ!EA41"")"),0)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IFERROR(__xludf.DUMMYFUNCTION("IMPORTRANGE(""https://docs.google.com/spreadsheets/d/1QqKyyYR6Q21VydFLVH3TRQUabQu_ym0Zz7PgGX0-kHA/edit?usp=sharing"",""แผน!ED41"")"),20)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IFERROR(__xludf.DUMMYFUNCTION("IMPORTRANGE(""https://docs.google.com/spreadsheets/d/1QqKyyYR6Q21VydFLVH3TRQUabQu_ym0Zz7PgGX0-kHA/edit?usp=sharing"",""แผน!ED41"")"),20)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IFERROR(__xludf.DUMMYFUNCTION("IMPORTRANGE(""https://docs.google.com/spreadsheets/d/1QqKyyYR6Q21VydFLVH3TRQUabQu_ym0Zz7PgGX0-kHA/edit?usp=sharing"",""แผน!ED41"")"),20)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IFERROR(__xludf.DUMMYFUNCTION("IMPORTRANGE(""https://docs.google.com/spreadsheets/d/1QqKyyYR6Q21VydFLVH3TRQUabQu_ym0Zz7PgGX0-kHA/edit?usp=sharing"",""แผน!EE41"")"),4)</f>
        <v>4</v>
      </c>
      <c r="J312" s="992">
        <v>4</v>
      </c>
      <c r="K312" s="864">
        <f t="shared" ca="1" si="141"/>
        <v>100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IFERROR(__xludf.DUMMYFUNCTION("IMPORTRANGE(""https://docs.google.com/spreadsheets/d/1MeEWN-I1oV_STSDYn1IFDPWt_1FKiwhDph83XaGc0o0/edit?usp=sharing"",""งบพรบ!EC41"")"),0)</f>
        <v>0</v>
      </c>
      <c r="M320" s="870">
        <f ca="1">IFERROR(__xludf.DUMMYFUNCTION("IMPORTRANGE(""https://docs.google.com/spreadsheets/d/1MeEWN-I1oV_STSDYn1IFDPWt_1FKiwhDph83XaGc0o0/edit?usp=sharing"",""งบพรบ!EH41"")"),0)</f>
        <v>0</v>
      </c>
      <c r="N320" s="870">
        <f ca="1">IFERROR(__xludf.DUMMYFUNCTION("IMPORTRANGE(""https://docs.google.com/spreadsheets/d/1MeEWN-I1oV_STSDYn1IFDPWt_1FKiwhDph83XaGc0o0/edit?usp=sharing"",""งบพรบ!EJ41"")"),0)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IFERROR(__xludf.DUMMYFUNCTION("IMPORTRANGE(""https://docs.google.com/spreadsheets/d/1MeEWN-I1oV_STSDYn1IFDPWt_1FKiwhDph83XaGc0o0/edit?usp=sharing"",""งบพรบ!EF41"")"),0)</f>
        <v>0</v>
      </c>
      <c r="M323" s="870">
        <f ca="1">IFERROR(__xludf.DUMMYFUNCTION("IMPORTRANGE(""https://docs.google.com/spreadsheets/d/1MeEWN-I1oV_STSDYn1IFDPWt_1FKiwhDph83XaGc0o0/edit?usp=sharing"",""งบพรบ!EI41"")"),0)</f>
        <v>0</v>
      </c>
      <c r="N323" s="870">
        <f ca="1">IFERROR(__xludf.DUMMYFUNCTION("IMPORTRANGE(""https://docs.google.com/spreadsheets/d/1MeEWN-I1oV_STSDYn1IFDPWt_1FKiwhDph83XaGc0o0/edit?usp=sharing"",""งบพรบ!EK41"")"),0)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IFERROR(__xludf.DUMMYFUNCTION("IMPORTRANGE(""https://docs.google.com/spreadsheets/d/1QqKyyYR6Q21VydFLVH3TRQUabQu_ym0Zz7PgGX0-kHA/edit?usp=sharing"",""แผน!EF41"")"),0)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IFERROR(__xludf.DUMMYFUNCTION("IMPORTRANGE(""https://docs.google.com/spreadsheets/d/1QqKyyYR6Q21VydFLVH3TRQUabQu_ym0Zz7PgGX0-kHA/edit?usp=sharing"",""แผน!EG41"")"),3200)</f>
        <v>3200</v>
      </c>
      <c r="J327" s="1170">
        <f ca="1">J338+J341+J342+J343</f>
        <v>2609</v>
      </c>
      <c r="K327" s="1171">
        <f ca="1">IF(I327&gt;0,J327*100/I327,0)</f>
        <v>81.53125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179000</v>
      </c>
      <c r="M328" s="972">
        <f t="shared" ca="1" si="149"/>
        <v>136750</v>
      </c>
      <c r="N328" s="972">
        <f t="shared" ca="1" si="149"/>
        <v>88366</v>
      </c>
      <c r="O328" s="972">
        <f t="shared" ref="O328:O336" ca="1" si="150">IF(L328&gt;0,N328*100/L328,0)</f>
        <v>49.366480446927376</v>
      </c>
      <c r="P328" s="972">
        <f t="shared" ref="P328:P336" ca="1" si="151">IF(M328&gt;0,N328*100/M328,0)</f>
        <v>64.618647166361981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179000</v>
      </c>
      <c r="M330" s="870">
        <f t="shared" ca="1" si="152"/>
        <v>136750</v>
      </c>
      <c r="N330" s="870">
        <f t="shared" ca="1" si="152"/>
        <v>88366</v>
      </c>
      <c r="O330" s="870">
        <f t="shared" ca="1" si="150"/>
        <v>49.366480446927376</v>
      </c>
      <c r="P330" s="870">
        <f t="shared" ca="1" si="151"/>
        <v>64.618647166361981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179000</v>
      </c>
      <c r="M331" s="864">
        <f t="shared" ca="1" si="153"/>
        <v>136750</v>
      </c>
      <c r="N331" s="864">
        <f t="shared" ca="1" si="153"/>
        <v>88366</v>
      </c>
      <c r="O331" s="864">
        <f t="shared" ca="1" si="150"/>
        <v>49.366480446927376</v>
      </c>
      <c r="P331" s="864">
        <f t="shared" ca="1" si="151"/>
        <v>64.618647166361981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IFERROR(__xludf.DUMMYFUNCTION("IMPORTRANGE(""https://docs.google.com/spreadsheets/d/1MeEWN-I1oV_STSDYn1IFDPWt_1FKiwhDph83XaGc0o0/edit?usp=sharing"",""งบพรบ!EM41"")"),179000)</f>
        <v>179000</v>
      </c>
      <c r="M333" s="870">
        <f ca="1">IFERROR(__xludf.DUMMYFUNCTION("IMPORTRANGE(""https://docs.google.com/spreadsheets/d/1MeEWN-I1oV_STSDYn1IFDPWt_1FKiwhDph83XaGc0o0/edit?usp=sharing"",""งบพรบ!ER41"")"),136750)</f>
        <v>136750</v>
      </c>
      <c r="N333" s="870">
        <f ca="1">IFERROR(__xludf.DUMMYFUNCTION("IMPORTRANGE(""https://docs.google.com/spreadsheets/d/1MeEWN-I1oV_STSDYn1IFDPWt_1FKiwhDph83XaGc0o0/edit?usp=sharing"",""งบพรบ!ET41"")"),88366)</f>
        <v>88366</v>
      </c>
      <c r="O333" s="870">
        <f t="shared" ca="1" si="150"/>
        <v>49.366480446927376</v>
      </c>
      <c r="P333" s="870">
        <f t="shared" ca="1" si="151"/>
        <v>64.618647166361981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IFERROR(__xludf.DUMMYFUNCTION("IMPORTRANGE(""https://docs.google.com/spreadsheets/d/1MeEWN-I1oV_STSDYn1IFDPWt_1FKiwhDph83XaGc0o0/edit?usp=sharing"",""งบพรบ!EP41"")"),0)</f>
        <v>0</v>
      </c>
      <c r="M336" s="870">
        <f ca="1">IFERROR(__xludf.DUMMYFUNCTION("IMPORTRANGE(""https://docs.google.com/spreadsheets/d/1MeEWN-I1oV_STSDYn1IFDPWt_1FKiwhDph83XaGc0o0/edit?usp=sharing"",""งบพรบ!ES41"")"),0)</f>
        <v>0</v>
      </c>
      <c r="N336" s="870">
        <f ca="1">IFERROR(__xludf.DUMMYFUNCTION("IMPORTRANGE(""https://docs.google.com/spreadsheets/d/1MeEWN-I1oV_STSDYn1IFDPWt_1FKiwhDph83XaGc0o0/edit?usp=sharing"",""งบพรบ!EU41"")"),0)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IFERROR(__xludf.DUMMYFUNCTION("IMPORTRANGE(""https://docs.google.com/spreadsheets/d/1QqKyyYR6Q21VydFLVH3TRQUabQu_ym0Zz7PgGX0-kHA/edit?usp=sharing"",""แผน!EG41"")"),3200)</f>
        <v>3200</v>
      </c>
      <c r="J338" s="863">
        <f ca="1">IFERROR(__xludf.DUMMYFUNCTION("IMPORTRANGE(""https://docs.google.com/spreadsheets/d/1kVcqe37tkHyjCSG3S0O1AXqVkqjo8mSIZil3BcpIysc/edit?usp=sharing"",""ศูนย์!D41"")"),2251)</f>
        <v>2251</v>
      </c>
      <c r="K338" s="864">
        <f ca="1">IF(I338&gt;0,J338*100/I338,0)</f>
        <v>70.34375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IFERROR(__xludf.DUMMYFUNCTION("IMPORTRANGE(""https://docs.google.com/spreadsheets/d/1QqKyyYR6Q21VydFLVH3TRQUabQu_ym0Zz7PgGX0-kHA/edit?usp=sharing"",""แผน!EH41"")"),8)</f>
        <v>8</v>
      </c>
      <c r="J340" s="863">
        <f ca="1">IFERROR(__xludf.DUMMYFUNCTION("IMPORTRANGE(""https://docs.google.com/spreadsheets/d/1kVcqe37tkHyjCSG3S0O1AXqVkqjo8mSIZil3BcpIysc/edit?usp=sharing"",""ศูนย์!E41"")"),11)</f>
        <v>11</v>
      </c>
      <c r="K340" s="864">
        <f ca="1">IF(I340&gt;0,J340*100/I340,0)</f>
        <v>137.5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IFERROR(__xludf.DUMMYFUNCTION("IMPORTRANGE(""https://docs.google.com/spreadsheets/d/1kVcqe37tkHyjCSG3S0O1AXqVkqjo8mSIZil3BcpIysc/edit?usp=sharing"",""ศูนย์!F41"")"),358)</f>
        <v>358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IFERROR(__xludf.DUMMYFUNCTION("IMPORTRANGE(""https://docs.google.com/spreadsheets/d/1kVcqe37tkHyjCSG3S0O1AXqVkqjo8mSIZil3BcpIysc/edit?usp=sharing"",""ศูนย์!G41"")"),0)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IFERROR(__xludf.DUMMYFUNCTION("IMPORTRANGE(""https://docs.google.com/spreadsheets/d/1kVcqe37tkHyjCSG3S0O1AXqVkqjo8mSIZil3BcpIysc/edit?usp=sharing"",""ศูนย์!H41"")"),0)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791770</v>
      </c>
      <c r="M345" s="972">
        <f t="shared" ca="1" si="155"/>
        <v>615435</v>
      </c>
      <c r="N345" s="972">
        <f t="shared" ca="1" si="155"/>
        <v>338570</v>
      </c>
      <c r="O345" s="972">
        <f t="shared" ref="O345:O353" ca="1" si="156">IF(L345&gt;0,N345*100/L345,0)</f>
        <v>42.76115538603382</v>
      </c>
      <c r="P345" s="972">
        <f t="shared" ref="P345:P353" ca="1" si="157">IF(M345&gt;0,N345*100/M345,0)</f>
        <v>55.013120800734441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791770</v>
      </c>
      <c r="M347" s="870">
        <f t="shared" ca="1" si="158"/>
        <v>615435</v>
      </c>
      <c r="N347" s="870">
        <f t="shared" ca="1" si="158"/>
        <v>338570</v>
      </c>
      <c r="O347" s="870">
        <f t="shared" ca="1" si="156"/>
        <v>42.76115538603382</v>
      </c>
      <c r="P347" s="870">
        <f t="shared" ca="1" si="157"/>
        <v>55.013120800734441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700170</v>
      </c>
      <c r="M348" s="864">
        <f t="shared" ca="1" si="159"/>
        <v>523835</v>
      </c>
      <c r="N348" s="864">
        <f t="shared" ca="1" si="159"/>
        <v>246970</v>
      </c>
      <c r="O348" s="864">
        <f t="shared" ca="1" si="156"/>
        <v>35.272862304868816</v>
      </c>
      <c r="P348" s="864">
        <f t="shared" ca="1" si="157"/>
        <v>47.146525146276979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IFERROR(__xludf.DUMMYFUNCTION("IMPORTRANGE(""https://docs.google.com/spreadsheets/d/1MeEWN-I1oV_STSDYn1IFDPWt_1FKiwhDph83XaGc0o0/edit?usp=sharing"",""งบพรบ!EW41"")"),700170)</f>
        <v>700170</v>
      </c>
      <c r="M350" s="870">
        <f ca="1">IFERROR(__xludf.DUMMYFUNCTION("IMPORTRANGE(""https://docs.google.com/spreadsheets/d/1MeEWN-I1oV_STSDYn1IFDPWt_1FKiwhDph83XaGc0o0/edit?usp=sharing"",""งบพรบ!FB41"")"),523835)</f>
        <v>523835</v>
      </c>
      <c r="N350" s="870">
        <f ca="1">IFERROR(__xludf.DUMMYFUNCTION("IMPORTRANGE(""https://docs.google.com/spreadsheets/d/1MeEWN-I1oV_STSDYn1IFDPWt_1FKiwhDph83XaGc0o0/edit?usp=sharing"",""งบพรบ!FD41"")"),246970)</f>
        <v>246970</v>
      </c>
      <c r="O350" s="870">
        <f t="shared" ca="1" si="156"/>
        <v>35.272862304868816</v>
      </c>
      <c r="P350" s="870">
        <f t="shared" ca="1" si="157"/>
        <v>47.146525146276979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91600</v>
      </c>
      <c r="M351" s="864">
        <f t="shared" ca="1" si="160"/>
        <v>91600</v>
      </c>
      <c r="N351" s="864">
        <f t="shared" ca="1" si="160"/>
        <v>91600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IFERROR(__xludf.DUMMYFUNCTION("IMPORTRANGE(""https://docs.google.com/spreadsheets/d/1MeEWN-I1oV_STSDYn1IFDPWt_1FKiwhDph83XaGc0o0/edit?usp=sharing"",""งบพรบ!EZ41"")"),91600)</f>
        <v>91600</v>
      </c>
      <c r="M353" s="870">
        <f ca="1">IFERROR(__xludf.DUMMYFUNCTION("IMPORTRANGE(""https://docs.google.com/spreadsheets/d/1MeEWN-I1oV_STSDYn1IFDPWt_1FKiwhDph83XaGc0o0/edit?usp=sharing"",""งบพรบ!FC41"")"),91600)</f>
        <v>91600</v>
      </c>
      <c r="N353" s="870">
        <f ca="1">IFERROR(__xludf.DUMMYFUNCTION("IMPORTRANGE(""https://docs.google.com/spreadsheets/d/1MeEWN-I1oV_STSDYn1IFDPWt_1FKiwhDph83XaGc0o0/edit?usp=sharing"",""งบพรบ!FE41"")"),91600)</f>
        <v>91600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IFERROR(__xludf.DUMMYFUNCTION("IMPORTRANGE(""https://docs.google.com/spreadsheets/d/1QqKyyYR6Q21VydFLVH3TRQUabQu_ym0Zz7PgGX0-kHA/edit?usp=sharing"",""แผน!EP41"")"),530)</f>
        <v>530</v>
      </c>
      <c r="J355" s="1186">
        <f ca="1">J362</f>
        <v>87</v>
      </c>
      <c r="K355" s="1187">
        <f ca="1">IF(I355&gt;0,J355*100/I355,0)</f>
        <v>16.415094339622641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IFERROR(__xludf.DUMMYFUNCTION("IMPORTRANGE(""https://docs.google.com/spreadsheets/d/1XWAQStnk-4SwqDmLtmXYiTMKHgktTP8We1SCoS47DrQ/edit?usp=sharing"",""จัดที่ดิน!W41"")"),116)</f>
        <v>116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IFERROR(__xludf.DUMMYFUNCTION("IMPORTRANGE(""https://docs.google.com/spreadsheets/d/1QqKyyYR6Q21VydFLVH3TRQUabQu_ym0Zz7PgGX0-kHA/edit?usp=sharing"",""แผน!EO41"")"),4700)</f>
        <v>4700</v>
      </c>
      <c r="J359" s="863">
        <f ca="1">IFERROR(__xludf.DUMMYFUNCTION("IMPORTRANGE(""https://docs.google.com/spreadsheets/d/1XWAQStnk-4SwqDmLtmXYiTMKHgktTP8We1SCoS47DrQ/edit?usp=sharing"",""จัดที่ดิน!X41"")"),670.92)</f>
        <v>670.92</v>
      </c>
      <c r="K359" s="864">
        <f t="shared" ca="1" si="161"/>
        <v>14.274893617021277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IFERROR(__xludf.DUMMYFUNCTION("IMPORTRANGE(""https://docs.google.com/spreadsheets/d/1QqKyyYR6Q21VydFLVH3TRQUabQu_ym0Zz7PgGX0-kHA/edit?usp=sharing"",""แผน!EP41"")"),530)</f>
        <v>530</v>
      </c>
      <c r="J360" s="863">
        <f ca="1">IFERROR(__xludf.DUMMYFUNCTION("IMPORTRANGE(""https://docs.google.com/spreadsheets/d/1XWAQStnk-4SwqDmLtmXYiTMKHgktTP8We1SCoS47DrQ/edit?usp=sharing"",""จัดที่ดิน!Y41"")"),119)</f>
        <v>119</v>
      </c>
      <c r="K360" s="864">
        <f t="shared" ca="1" si="161"/>
        <v>22.452830188679247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IFERROR(__xludf.DUMMYFUNCTION("IMPORTRANGE(""https://docs.google.com/spreadsheets/d/1XWAQStnk-4SwqDmLtmXYiTMKHgktTP8We1SCoS47DrQ/edit?usp=sharing"",""จัดที่ดิน!Z41"")"),690.63)</f>
        <v>690.63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IFERROR(__xludf.DUMMYFUNCTION("IMPORTRANGE(""https://docs.google.com/spreadsheets/d/1QqKyyYR6Q21VydFLVH3TRQUabQu_ym0Zz7PgGX0-kHA/edit?usp=sharing"",""แผน!EP41"")"),530)</f>
        <v>530</v>
      </c>
      <c r="J362" s="863">
        <f ca="1">IFERROR(__xludf.DUMMYFUNCTION("IMPORTRANGE(""https://docs.google.com/spreadsheets/d/1XWAQStnk-4SwqDmLtmXYiTMKHgktTP8We1SCoS47DrQ/edit?usp=sharing"",""จัดที่ดิน!AA41"")"),87)</f>
        <v>87</v>
      </c>
      <c r="K362" s="864">
        <f t="shared" ca="1" si="161"/>
        <v>16.415094339622641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IFERROR(__xludf.DUMMYFUNCTION("IMPORTRANGE(""https://docs.google.com/spreadsheets/d/1XWAQStnk-4SwqDmLtmXYiTMKHgktTP8We1SCoS47DrQ/edit?usp=sharing"",""จัดที่ดิน!AB41"")"),559)</f>
        <v>559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1135</v>
      </c>
      <c r="J364" s="1199">
        <f t="shared" ca="1" si="162"/>
        <v>342</v>
      </c>
      <c r="K364" s="1200">
        <f t="shared" ca="1" si="161"/>
        <v>30.132158590308372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IFERROR(__xludf.DUMMYFUNCTION("IMPORTRANGE(""https://docs.google.com/spreadsheets/d/1QqKyyYR6Q21VydFLVH3TRQUabQu_ym0Zz7PgGX0-kHA/edit?usp=sharing"",""แผน!EJ41"")"),140)</f>
        <v>140</v>
      </c>
      <c r="J365" s="1207">
        <f ca="1">J372</f>
        <v>44</v>
      </c>
      <c r="K365" s="1208">
        <f t="shared" ca="1" si="161"/>
        <v>31.428571428571427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IFERROR(__xludf.DUMMYFUNCTION("IMPORTRANGE(""https://docs.google.com/spreadsheets/d/1XWAQStnk-4SwqDmLtmXYiTMKHgktTP8We1SCoS47DrQ/edit?usp=sharing"",""จัดที่ดิน!E41"")"),60)</f>
        <v>60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IFERROR(__xludf.DUMMYFUNCTION("IMPORTRANGE(""https://docs.google.com/spreadsheets/d/1QqKyyYR6Q21VydFLVH3TRQUabQu_ym0Zz7PgGX0-kHA/edit?usp=sharing"",""แผน!EI41"")"),1400)</f>
        <v>1400</v>
      </c>
      <c r="J369" s="863">
        <f ca="1">IFERROR(__xludf.DUMMYFUNCTION("IMPORTRANGE(""https://docs.google.com/spreadsheets/d/1XWAQStnk-4SwqDmLtmXYiTMKHgktTP8We1SCoS47DrQ/edit?usp=sharing"",""จัดที่ดิน!F41"")"),293.59)</f>
        <v>293.58999999999997</v>
      </c>
      <c r="K369" s="864">
        <f t="shared" ca="1" si="163"/>
        <v>20.970714285714283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IFERROR(__xludf.DUMMYFUNCTION("IMPORTRANGE(""https://docs.google.com/spreadsheets/d/1QqKyyYR6Q21VydFLVH3TRQUabQu_ym0Zz7PgGX0-kHA/edit?usp=sharing"",""แผน!EJ41"")"),140)</f>
        <v>140</v>
      </c>
      <c r="J370" s="863">
        <f ca="1">IFERROR(__xludf.DUMMYFUNCTION("IMPORTRANGE(""https://docs.google.com/spreadsheets/d/1XWAQStnk-4SwqDmLtmXYiTMKHgktTP8We1SCoS47DrQ/edit?usp=sharing"",""จัดที่ดิน!G41"")"),62)</f>
        <v>62</v>
      </c>
      <c r="K370" s="864">
        <f t="shared" ca="1" si="163"/>
        <v>44.285714285714285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IFERROR(__xludf.DUMMYFUNCTION("IMPORTRANGE(""https://docs.google.com/spreadsheets/d/1XWAQStnk-4SwqDmLtmXYiTMKHgktTP8We1SCoS47DrQ/edit?usp=sharing"",""จัดที่ดิน!H41"")"),297.94)</f>
        <v>297.94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IFERROR(__xludf.DUMMYFUNCTION("IMPORTRANGE(""https://docs.google.com/spreadsheets/d/1QqKyyYR6Q21VydFLVH3TRQUabQu_ym0Zz7PgGX0-kHA/edit?usp=sharing"",""แผน!EJ41"")"),140)</f>
        <v>140</v>
      </c>
      <c r="J372" s="863">
        <f ca="1">IFERROR(__xludf.DUMMYFUNCTION("IMPORTRANGE(""https://docs.google.com/spreadsheets/d/1XWAQStnk-4SwqDmLtmXYiTMKHgktTP8We1SCoS47DrQ/edit?usp=sharing"",""จัดที่ดิน!I41"")"),44)</f>
        <v>44</v>
      </c>
      <c r="K372" s="864">
        <f t="shared" ca="1" si="163"/>
        <v>31.428571428571427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IFERROR(__xludf.DUMMYFUNCTION("IMPORTRANGE(""https://docs.google.com/spreadsheets/d/1XWAQStnk-4SwqDmLtmXYiTMKHgktTP8We1SCoS47DrQ/edit?usp=sharing"",""จัดที่ดิน!J41"")"),229.12)</f>
        <v>229.12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IFERROR(__xludf.DUMMYFUNCTION("IMPORTRANGE(""https://docs.google.com/spreadsheets/d/1QqKyyYR6Q21VydFLVH3TRQUabQu_ym0Zz7PgGX0-kHA/edit?usp=sharing"",""แผน!EU41"")"),995)</f>
        <v>995</v>
      </c>
      <c r="J374" s="1207">
        <f ca="1">J381</f>
        <v>298</v>
      </c>
      <c r="K374" s="1208">
        <f t="shared" ca="1" si="163"/>
        <v>29.949748743718594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IFERROR(__xludf.DUMMYFUNCTION("IMPORTRANGE(""https://docs.google.com/spreadsheets/d/1XWAQStnk-4SwqDmLtmXYiTMKHgktTP8We1SCoS47DrQ/edit?usp=sharing"",""จัดที่ดิน!AH41"")"),56)</f>
        <v>56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IFERROR(__xludf.DUMMYFUNCTION("IMPORTRANGE(""https://docs.google.com/spreadsheets/d/1QqKyyYR6Q21VydFLVH3TRQUabQu_ym0Zz7PgGX0-kHA/edit?usp=sharing"",""แผน!ET41"")"),3300)</f>
        <v>3300</v>
      </c>
      <c r="J378" s="863">
        <f ca="1">IFERROR(__xludf.DUMMYFUNCTION("IMPORTRANGE(""https://docs.google.com/spreadsheets/d/1XWAQStnk-4SwqDmLtmXYiTMKHgktTP8We1SCoS47DrQ/edit?usp=sharing"",""จัดที่ดิน!AI41"")"),377.33)</f>
        <v>377.33</v>
      </c>
      <c r="K378" s="864">
        <f t="shared" ca="1" si="164"/>
        <v>11.434242424242424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IFERROR(__xludf.DUMMYFUNCTION("IMPORTRANGE(""https://docs.google.com/spreadsheets/d/1QqKyyYR6Q21VydFLVH3TRQUabQu_ym0Zz7PgGX0-kHA/edit?usp=sharing"",""แผน!EU41"")"),995)</f>
        <v>995</v>
      </c>
      <c r="J379" s="863">
        <f ca="1">IFERROR(__xludf.DUMMYFUNCTION("IMPORTRANGE(""https://docs.google.com/spreadsheets/d/1XWAQStnk-4SwqDmLtmXYiTMKHgktTP8We1SCoS47DrQ/edit?usp=sharing"",""จัดที่ดิน!AJ41"")"),313)</f>
        <v>313</v>
      </c>
      <c r="K379" s="864">
        <f t="shared" ca="1" si="164"/>
        <v>31.457286432160803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IFERROR(__xludf.DUMMYFUNCTION("IMPORTRANGE(""https://docs.google.com/spreadsheets/d/1XWAQStnk-4SwqDmLtmXYiTMKHgktTP8We1SCoS47DrQ/edit?usp=sharing"",""จัดที่ดิน!AK41"")"),3334.78)</f>
        <v>3334.78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IFERROR(__xludf.DUMMYFUNCTION("IMPORTRANGE(""https://docs.google.com/spreadsheets/d/1QqKyyYR6Q21VydFLVH3TRQUabQu_ym0Zz7PgGX0-kHA/edit?usp=sharing"",""แผน!EU41"")"),995)</f>
        <v>995</v>
      </c>
      <c r="J381" s="863">
        <f ca="1">IFERROR(__xludf.DUMMYFUNCTION("IMPORTRANGE(""https://docs.google.com/spreadsheets/d/1XWAQStnk-4SwqDmLtmXYiTMKHgktTP8We1SCoS47DrQ/edit?usp=sharing"",""จัดที่ดิน!AL41"")"),298)</f>
        <v>298</v>
      </c>
      <c r="K381" s="864">
        <f t="shared" ca="1" si="164"/>
        <v>29.949748743718594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IFERROR(__xludf.DUMMYFUNCTION("IMPORTRANGE(""https://docs.google.com/spreadsheets/d/1XWAQStnk-4SwqDmLtmXYiTMKHgktTP8We1SCoS47DrQ/edit?usp=sharing"",""จัดที่ดิน!AM41"")"),3265.26)</f>
        <v>3265.26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IFERROR(__xludf.DUMMYFUNCTION("IMPORTRANGE(""https://docs.google.com/spreadsheets/d/1QqKyyYR6Q21VydFLVH3TRQUabQu_ym0Zz7PgGX0-kHA/edit?usp=sharing"",""แผน!EW41"")"),50)</f>
        <v>50</v>
      </c>
      <c r="J385" s="1117">
        <f ca="1">IFERROR(__xludf.DUMMYFUNCTION("IMPORTRANGE(""https://docs.google.com/spreadsheets/d/1XWAQStnk-4SwqDmLtmXYiTMKHgktTP8We1SCoS47DrQ/edit?usp=sharing"",""จัดที่ดิน!AP41"")"),0)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IFERROR(__xludf.DUMMYFUNCTION("IMPORTRANGE(""https://docs.google.com/spreadsheets/d/1MeEWN-I1oV_STSDYn1IFDPWt_1FKiwhDph83XaGc0o0/edit?usp=sharing"",""งบพรบ!FG41"")"),0)</f>
        <v>0</v>
      </c>
      <c r="M394" s="870">
        <f ca="1">IFERROR(__xludf.DUMMYFUNCTION("IMPORTRANGE(""https://docs.google.com/spreadsheets/d/1MeEWN-I1oV_STSDYn1IFDPWt_1FKiwhDph83XaGc0o0/edit?usp=sharing"",""งบพรบ!FL41"")"),0)</f>
        <v>0</v>
      </c>
      <c r="N394" s="870">
        <f ca="1">IFERROR(__xludf.DUMMYFUNCTION("IMPORTRANGE(""https://docs.google.com/spreadsheets/d/1MeEWN-I1oV_STSDYn1IFDPWt_1FKiwhDph83XaGc0o0/edit?usp=sharing"",""งบพรบ!FN41"")"),0)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IFERROR(__xludf.DUMMYFUNCTION("IMPORTRANGE(""https://docs.google.com/spreadsheets/d/1MeEWN-I1oV_STSDYn1IFDPWt_1FKiwhDph83XaGc0o0/edit?usp=sharing"",""งบพรบ!FJ41"")"),0)</f>
        <v>0</v>
      </c>
      <c r="M397" s="870">
        <f ca="1">IFERROR(__xludf.DUMMYFUNCTION("IMPORTRANGE(""https://docs.google.com/spreadsheets/d/1MeEWN-I1oV_STSDYn1IFDPWt_1FKiwhDph83XaGc0o0/edit?usp=sharing"",""งบพรบ!FM41"")"),0)</f>
        <v>0</v>
      </c>
      <c r="N397" s="870">
        <f ca="1">IFERROR(__xludf.DUMMYFUNCTION("IMPORTRANGE(""https://docs.google.com/spreadsheets/d/1MeEWN-I1oV_STSDYn1IFDPWt_1FKiwhDph83XaGc0o0/edit?usp=sharing"",""งบพรบ!FO41"")"),0)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IFERROR(__xludf.DUMMYFUNCTION("IMPORTRANGE(""https://docs.google.com/spreadsheets/d/1MeEWN-I1oV_STSDYn1IFDPWt_1FKiwhDph83XaGc0o0/edit?usp=sharing"",""งบพรบ!FQ41"")"),0)</f>
        <v>0</v>
      </c>
      <c r="M407" s="870">
        <f ca="1">IFERROR(__xludf.DUMMYFUNCTION("IMPORTRANGE(""https://docs.google.com/spreadsheets/d/1MeEWN-I1oV_STSDYn1IFDPWt_1FKiwhDph83XaGc0o0/edit?usp=sharing"",""งบพรบ!FV41"")"),0)</f>
        <v>0</v>
      </c>
      <c r="N407" s="870">
        <f ca="1">IFERROR(__xludf.DUMMYFUNCTION("IMPORTRANGE(""https://docs.google.com/spreadsheets/d/1MeEWN-I1oV_STSDYn1IFDPWt_1FKiwhDph83XaGc0o0/edit?usp=sharing"",""งบพรบ!FX41"")"),0)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IFERROR(__xludf.DUMMYFUNCTION("IMPORTRANGE(""https://docs.google.com/spreadsheets/d/1MeEWN-I1oV_STSDYn1IFDPWt_1FKiwhDph83XaGc0o0/edit?usp=sharing"",""งบพรบ!FT41"")"),0)</f>
        <v>0</v>
      </c>
      <c r="M410" s="870">
        <f ca="1">IFERROR(__xludf.DUMMYFUNCTION("IMPORTRANGE(""https://docs.google.com/spreadsheets/d/1MeEWN-I1oV_STSDYn1IFDPWt_1FKiwhDph83XaGc0o0/edit?usp=sharing"",""งบพรบ!FW41"")"),0)</f>
        <v>0</v>
      </c>
      <c r="N410" s="870">
        <f ca="1">IFERROR(__xludf.DUMMYFUNCTION("IMPORTRANGE(""https://docs.google.com/spreadsheets/d/1MeEWN-I1oV_STSDYn1IFDPWt_1FKiwhDph83XaGc0o0/edit?usp=sharing"",""งบพรบ!FY41"")"),0)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1932863</v>
      </c>
      <c r="M414" s="1257">
        <f t="shared" si="181"/>
        <v>0</v>
      </c>
      <c r="N414" s="1257">
        <f t="shared" si="181"/>
        <v>646389</v>
      </c>
      <c r="O414" s="1257">
        <f ca="1">IF(L414&gt;0,N414*100/L414,0)</f>
        <v>33.442049436509471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53560</v>
      </c>
      <c r="O419" s="972">
        <f t="shared" ref="O419:O424" ca="1" si="185">IF(L419&gt;0,N419*100/L419,0)</f>
        <v>68.090516145436055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53560</v>
      </c>
      <c r="O421" s="870">
        <f t="shared" ca="1" si="185"/>
        <v>68.090516145436055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53560</v>
      </c>
      <c r="O422" s="864">
        <f t="shared" ca="1" si="185"/>
        <v>68.090516145436055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IFERROR(__xludf.DUMMYFUNCTION("IMPORTRANGE(""https://docs.google.com/spreadsheets/d/1QqKyyYR6Q21VydFLVH3TRQUabQu_ym0Zz7PgGX0-kHA/edit?usp=sharing"",""แผน!EY41"")"),78660)</f>
        <v>78660</v>
      </c>
      <c r="M424" s="870">
        <v>0</v>
      </c>
      <c r="N424" s="870">
        <f>N425+N426+N427+N428</f>
        <v>53560</v>
      </c>
      <c r="O424" s="870">
        <f t="shared" ca="1" si="185"/>
        <v>68.090516145436055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44900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8660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IFERROR(__xludf.DUMMYFUNCTION("IMPORTRANGE(""https://docs.google.com/spreadsheets/d/1QqKyyYR6Q21VydFLVH3TRQUabQu_ym0Zz7PgGX0-kHA/edit?usp=sharing"",""แผน!FB41"")"),0)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IFERROR(__xludf.DUMMYFUNCTION("IMPORTRANGE(""https://docs.google.com/spreadsheets/d/1QqKyyYR6Q21VydFLVH3TRQUabQu_ym0Zz7PgGX0-kHA/edit?usp=sharing"",""แผน!FC41"")"),20)</f>
        <v>20</v>
      </c>
      <c r="J435" s="578">
        <v>0</v>
      </c>
      <c r="K435" s="864">
        <f t="shared" ca="1" si="192"/>
        <v>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IFERROR(__xludf.DUMMYFUNCTION("IMPORTRANGE(""https://docs.google.com/spreadsheets/d/1QqKyyYR6Q21VydFLVH3TRQUabQu_ym0Zz7PgGX0-kHA/edit?usp=sharing"",""แผน!FD41"")"),0)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IFERROR(__xludf.DUMMYFUNCTION("IMPORTRANGE(""https://docs.google.com/spreadsheets/d/1QqKyyYR6Q21VydFLVH3TRQUabQu_ym0Zz7PgGX0-kHA/edit?usp=sharing"",""แผน!FE41"")"),0)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IFERROR(__xludf.DUMMYFUNCTION("IMPORTRANGE(""https://docs.google.com/spreadsheets/d/1QqKyyYR6Q21VydFLVH3TRQUabQu_ym0Zz7PgGX0-kHA/edit?usp=sharing"",""แผน!FF41"")"),20)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IFERROR(__xludf.DUMMYFUNCTION("IMPORTRANGE(""https://docs.google.com/spreadsheets/d/1QqKyyYR6Q21VydFLVH3TRQUabQu_ym0Zz7PgGX0-kHA/edit?usp=sharing"",""แผน!FG41"")"),1)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IFERROR(__xludf.DUMMYFUNCTION("IMPORTRANGE(""https://docs.google.com/spreadsheets/d/1QqKyyYR6Q21VydFLVH3TRQUabQu_ym0Zz7PgGX0-kHA/edit?usp=sharing"",""แผน!FH41"")"),0)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100</v>
      </c>
      <c r="J442" s="1285">
        <f t="shared" si="195"/>
        <v>100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280</v>
      </c>
      <c r="J443" s="1270">
        <f t="shared" si="196"/>
        <v>280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616680</v>
      </c>
      <c r="M444" s="1000">
        <f t="shared" si="197"/>
        <v>0</v>
      </c>
      <c r="N444" s="1000">
        <f t="shared" si="197"/>
        <v>240146</v>
      </c>
      <c r="O444" s="1000">
        <f t="shared" ref="O444:O449" ca="1" si="198">IF(L444&gt;0,N444*100/L444,0)</f>
        <v>38.941752610754364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616680</v>
      </c>
      <c r="M446" s="870">
        <f t="shared" si="200"/>
        <v>0</v>
      </c>
      <c r="N446" s="870">
        <f t="shared" si="200"/>
        <v>240146</v>
      </c>
      <c r="O446" s="870">
        <f t="shared" ca="1" si="198"/>
        <v>38.941752610754364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616680</v>
      </c>
      <c r="M447" s="864">
        <f t="shared" si="201"/>
        <v>0</v>
      </c>
      <c r="N447" s="864">
        <f t="shared" si="201"/>
        <v>240146</v>
      </c>
      <c r="O447" s="864">
        <f t="shared" ca="1" si="198"/>
        <v>38.941752610754364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IFERROR(__xludf.DUMMYFUNCTION("IMPORTRANGE(""https://docs.google.com/spreadsheets/d/1QqKyyYR6Q21VydFLVH3TRQUabQu_ym0Zz7PgGX0-kHA/edit?usp=sharing"",""แผน!FJ41"")"),616680)</f>
        <v>616680</v>
      </c>
      <c r="M449" s="870">
        <v>0</v>
      </c>
      <c r="N449" s="870">
        <f>N450+N451+N452+N453</f>
        <v>240146</v>
      </c>
      <c r="O449" s="870">
        <f t="shared" ca="1" si="198"/>
        <v>38.941752610754364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f>21600+18640+9120</f>
        <v>49360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121600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f>13000+12566+13000+13000</f>
        <v>51566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f>8380+6000+1480+1760</f>
        <v>17620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IFERROR(__xludf.DUMMYFUNCTION("IMPORTRANGE(""https://docs.google.com/spreadsheets/d/1QqKyyYR6Q21VydFLVH3TRQUabQu_ym0Zz7PgGX0-kHA/edit?usp=sharing"",""แผน!FM41"")"),0)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IFERROR(__xludf.DUMMYFUNCTION("IMPORTRANGE(""https://docs.google.com/spreadsheets/d/1QqKyyYR6Q21VydFLVH3TRQUabQu_ym0Zz7PgGX0-kHA/edit?usp=sharing"",""แผน!FN41"")"),100)</f>
        <v>100</v>
      </c>
      <c r="J460" s="992">
        <v>100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IFERROR(__xludf.DUMMYFUNCTION("IMPORTRANGE(""https://docs.google.com/spreadsheets/d/1QqKyyYR6Q21VydFLVH3TRQUabQu_ym0Zz7PgGX0-kHA/edit?usp=sharing"",""แผน!FO41"")"),280)</f>
        <v>280</v>
      </c>
      <c r="J462" s="992">
        <v>280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IFERROR(__xludf.DUMMYFUNCTION("IMPORTRANGE(""https://docs.google.com/spreadsheets/d/1QqKyyYR6Q21VydFLVH3TRQUabQu_ym0Zz7PgGX0-kHA/edit?usp=sharing"",""แผน!FO41"")"),280)</f>
        <v>280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IFERROR(__xludf.DUMMYFUNCTION("IMPORTRANGE(""https://docs.google.com/spreadsheets/d/1QqKyyYR6Q21VydFLVH3TRQUabQu_ym0Zz7PgGX0-kHA/edit?usp=sharing"",""แผน!FN41"")"),100)</f>
        <v>100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IFERROR(__xludf.DUMMYFUNCTION("IMPORTRANGE(""https://docs.google.com/spreadsheets/d/1QqKyyYR6Q21VydFLVH3TRQUabQu_ym0Zz7PgGX0-kHA/edit?usp=sharing"",""แผน!FX41"")"),61)</f>
        <v>61</v>
      </c>
      <c r="J465" s="1285">
        <f>J485+J489+J492</f>
        <v>61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IFERROR(__xludf.DUMMYFUNCTION("IMPORTRANGE(""https://docs.google.com/spreadsheets/d/1QqKyyYR6Q21VydFLVH3TRQUabQu_ym0Zz7PgGX0-kHA/edit?usp=sharing"",""แผน!FW41"")"),600)</f>
        <v>600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491703</v>
      </c>
      <c r="M467" s="1000">
        <f t="shared" si="206"/>
        <v>0</v>
      </c>
      <c r="N467" s="1000">
        <f t="shared" si="206"/>
        <v>86080</v>
      </c>
      <c r="O467" s="1000">
        <f t="shared" ref="O467:O472" ca="1" si="207">IF(L467&gt;0,N467*100/L467,0)</f>
        <v>17.506502909276534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491703</v>
      </c>
      <c r="M469" s="870">
        <f t="shared" si="209"/>
        <v>0</v>
      </c>
      <c r="N469" s="870">
        <f t="shared" si="209"/>
        <v>86080</v>
      </c>
      <c r="O469" s="870">
        <f t="shared" ca="1" si="207"/>
        <v>17.506502909276534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491703</v>
      </c>
      <c r="M470" s="864">
        <f t="shared" si="210"/>
        <v>0</v>
      </c>
      <c r="N470" s="864">
        <f t="shared" si="210"/>
        <v>86080</v>
      </c>
      <c r="O470" s="864">
        <f t="shared" ca="1" si="207"/>
        <v>17.506502909276534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IFERROR(__xludf.DUMMYFUNCTION("IMPORTRANGE(""https://docs.google.com/spreadsheets/d/1QqKyyYR6Q21VydFLVH3TRQUabQu_ym0Zz7PgGX0-kHA/edit?usp=sharing"",""แผน!FS41"")"),491703)</f>
        <v>491703</v>
      </c>
      <c r="M472" s="870">
        <v>0</v>
      </c>
      <c r="N472" s="870">
        <f>N473+N474+N475+N476</f>
        <v>86080</v>
      </c>
      <c r="O472" s="870">
        <f t="shared" ca="1" si="207"/>
        <v>17.506502909276534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f>59850+7400</f>
        <v>67250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14180+3350+1300</f>
        <v>18830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IFERROR(__xludf.DUMMYFUNCTION("IMPORTRANGE(""https://docs.google.com/spreadsheets/d/1QqKyyYR6Q21VydFLVH3TRQUabQu_ym0Zz7PgGX0-kHA/edit?usp=sharing"",""แผน!FV41"")"),0)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IFERROR(__xludf.DUMMYFUNCTION("IMPORTRANGE(""https://docs.google.com/spreadsheets/d/1QqKyyYR6Q21VydFLVH3TRQUabQu_ym0Zz7PgGX0-kHA/edit?usp=sharing"",""แผน!FY41"")"),540)</f>
        <v>540</v>
      </c>
      <c r="J483" s="992">
        <v>540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IFERROR(__xludf.DUMMYFUNCTION("IMPORTRANGE(""https://docs.google.com/spreadsheets/d/1QqKyyYR6Q21VydFLVH3TRQUabQu_ym0Zz7PgGX0-kHA/edit?usp=sharing"",""แผน!FZ41"")"),54)</f>
        <v>54</v>
      </c>
      <c r="J485" s="992">
        <v>54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IFERROR(__xludf.DUMMYFUNCTION("IMPORTRANGE(""https://docs.google.com/spreadsheets/d/1QqKyyYR6Q21VydFLVH3TRQUabQu_ym0Zz7PgGX0-kHA/edit?usp=sharing"",""แผน!GA41"")"),60)</f>
        <v>60</v>
      </c>
      <c r="J487" s="992">
        <v>60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IFERROR(__xludf.DUMMYFUNCTION("IMPORTRANGE(""https://docs.google.com/spreadsheets/d/1QqKyyYR6Q21VydFLVH3TRQUabQu_ym0Zz7PgGX0-kHA/edit?usp=sharing"",""แผน!GB41"")"),6)</f>
        <v>6</v>
      </c>
      <c r="J489" s="992">
        <v>6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IFERROR(__xludf.DUMMYFUNCTION("IMPORTRANGE(""https://docs.google.com/spreadsheets/d/1QqKyyYR6Q21VydFLVH3TRQUabQu_ym0Zz7PgGX0-kHA/edit?usp=sharing"",""แผน!GC41"")"),1)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IFERROR(__xludf.DUMMYFUNCTION("IMPORTRANGE(""https://docs.google.com/spreadsheets/d/1QqKyyYR6Q21VydFLVH3TRQUabQu_ym0Zz7PgGX0-kHA/edit?usp=sharing"",""แผน!FY41"")"),540)</f>
        <v>540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IFERROR(__xludf.DUMMYFUNCTION("IMPORTRANGE(""https://docs.google.com/spreadsheets/d/1QqKyyYR6Q21VydFLVH3TRQUabQu_ym0Zz7PgGX0-kHA/edit?usp=sharing"",""แผน!GA41"")"),60)</f>
        <v>60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IFERROR(__xludf.DUMMYFUNCTION("IMPORTRANGE(""https://docs.google.com/spreadsheets/d/1QqKyyYR6Q21VydFLVH3TRQUabQu_ym0Zz7PgGX0-kHA/edit?usp=sharing"",""แผน!GQ41"")"),0)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IFERROR(__xludf.DUMMYFUNCTION("IMPORTRANGE(""https://docs.google.com/spreadsheets/d/1QqKyyYR6Q21VydFLVH3TRQUabQu_ym0Zz7PgGX0-kHA/edit?usp=sharing"",""แผน!GT41"")"),0)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IFERROR(__xludf.DUMMYFUNCTION("IMPORTRANGE(""https://docs.google.com/spreadsheets/d/1QqKyyYR6Q21VydFLVH3TRQUabQu_ym0Zz7PgGX0-kHA/edit?usp=sharing"",""แผน!GU41"")"),0)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IFERROR(__xludf.DUMMYFUNCTION("IMPORTRANGE(""https://docs.google.com/spreadsheets/d/1QqKyyYR6Q21VydFLVH3TRQUabQu_ym0Zz7PgGX0-kHA/edit?usp=sharing"",""แผน!GV41"")"),0)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IFERROR(__xludf.DUMMYFUNCTION("IMPORTRANGE(""https://docs.google.com/spreadsheets/d/1QqKyyYR6Q21VydFLVH3TRQUabQu_ym0Zz7PgGX0-kHA/edit?usp=sharing"",""แผน!GW41"")"),0)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IFERROR(__xludf.DUMMYFUNCTION("IMPORTRANGE(""https://docs.google.com/spreadsheets/d/1QqKyyYR6Q21VydFLVH3TRQUabQu_ym0Zz7PgGX0-kHA/edit?usp=sharing"",""แผน!GX41"")"),0)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IFERROR(__xludf.DUMMYFUNCTION("IMPORTRANGE(""https://docs.google.com/spreadsheets/d/1QqKyyYR6Q21VydFLVH3TRQUabQu_ym0Zz7PgGX0-kHA/edit?usp=sharing"",""แผน!GY41"")"),0)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IFERROR(__xludf.DUMMYFUNCTION("IMPORTRANGE(""https://docs.google.com/spreadsheets/d/1QqKyyYR6Q21VydFLVH3TRQUabQu_ym0Zz7PgGX0-kHA/edit?usp=sharing"",""แผน!GZ41"")"),0)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38042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326325</v>
      </c>
      <c r="M544" s="972">
        <f t="shared" si="236"/>
        <v>0</v>
      </c>
      <c r="N544" s="972">
        <f t="shared" si="236"/>
        <v>105245</v>
      </c>
      <c r="O544" s="972">
        <f t="shared" ref="O544:O549" ca="1" si="237">IF(L544&gt;0,N544*100/L544,0)</f>
        <v>32.251589672872136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326325</v>
      </c>
      <c r="M546" s="870">
        <f t="shared" si="240"/>
        <v>0</v>
      </c>
      <c r="N546" s="870">
        <f t="shared" si="240"/>
        <v>105245</v>
      </c>
      <c r="O546" s="870">
        <f t="shared" ca="1" si="237"/>
        <v>32.251589672872136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326325</v>
      </c>
      <c r="M547" s="864">
        <f t="shared" si="241"/>
        <v>0</v>
      </c>
      <c r="N547" s="864">
        <f t="shared" si="241"/>
        <v>105245</v>
      </c>
      <c r="O547" s="864">
        <f t="shared" ca="1" si="237"/>
        <v>32.251589672872136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IFERROR(__xludf.DUMMYFUNCTION("IMPORTRANGE(""https://docs.google.com/spreadsheets/d/1QqKyyYR6Q21VydFLVH3TRQUabQu_ym0Zz7PgGX0-kHA/edit?usp=sharing"",""แผน!HB41"")"),326325)</f>
        <v>326325</v>
      </c>
      <c r="M549" s="870">
        <v>0</v>
      </c>
      <c r="N549" s="870">
        <f>N550+N551+N552+N553+N554</f>
        <v>105245</v>
      </c>
      <c r="O549" s="870">
        <f t="shared" ca="1" si="237"/>
        <v>32.251589672872136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f>13000+13000+13000+13000</f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14850+12000+1960+2320+5410+16705</f>
        <v>53245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IFERROR(__xludf.DUMMYFUNCTION("IMPORTRANGE(""https://docs.google.com/spreadsheets/d/1QqKyyYR6Q21VydFLVH3TRQUabQu_ym0Zz7PgGX0-kHA/edit?usp=sharing"",""แผน!HF41"")"),0)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38042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IFERROR(__xludf.DUMMYFUNCTION("IMPORTRANGE(""https://docs.google.com/spreadsheets/d/1QqKyyYR6Q21VydFLVH3TRQUabQu_ym0Zz7PgGX0-kHA/edit?usp=sharing"",""แผน!HH41"")"),38042)</f>
        <v>38042</v>
      </c>
      <c r="J560" s="998">
        <f t="shared" ref="J560:J561" si="247">J562+J564+J566</f>
        <v>38042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IFERROR(__xludf.DUMMYFUNCTION("IMPORTRANGE(""https://docs.google.com/spreadsheets/d/1QqKyyYR6Q21VydFLVH3TRQUabQu_ym0Zz7PgGX0-kHA/edit?usp=sharing"",""แผน!HG41"")"),3787)</f>
        <v>3787</v>
      </c>
      <c r="J561" s="998">
        <f t="shared" si="247"/>
        <v>3787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32410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3190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4743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522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889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75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IFERROR(__xludf.DUMMYFUNCTION("IMPORTRANGE(""https://docs.google.com/spreadsheets/d/1QqKyyYR6Q21VydFLVH3TRQUabQu_ym0Zz7PgGX0-kHA/edit?usp=sharing"",""แผน!HH41"")"),38042)</f>
        <v>38042</v>
      </c>
      <c r="J568" s="999">
        <f t="shared" ref="J568:J569" si="248">J570+J572+J574</f>
        <v>38072</v>
      </c>
      <c r="K568" s="1142">
        <f t="shared" ref="K568:K569" ca="1" si="249">IF(I568&gt;0,J568*100/I568,0)</f>
        <v>100.07886020713947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IFERROR(__xludf.DUMMYFUNCTION("IMPORTRANGE(""https://docs.google.com/spreadsheets/d/1QqKyyYR6Q21VydFLVH3TRQUabQu_ym0Zz7PgGX0-kHA/edit?usp=sharing"",""แผน!HG41"")"),3787)</f>
        <v>3787</v>
      </c>
      <c r="J569" s="999">
        <f t="shared" si="248"/>
        <v>3787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34701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3485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2383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220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988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82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IFERROR(__xludf.DUMMYFUNCTION("IMPORTRANGE(""https://docs.google.com/spreadsheets/d/1QqKyyYR6Q21VydFLVH3TRQUabQu_ym0Zz7PgGX0-kHA/edit?usp=sharing"",""แผน!HH41"")"),38042)</f>
        <v>38042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IFERROR(__xludf.DUMMYFUNCTION("IMPORTRANGE(""https://docs.google.com/spreadsheets/d/1QqKyyYR6Q21VydFLVH3TRQUabQu_ym0Zz7PgGX0-kHA/edit?usp=sharing"",""แผน!HG41"")"),3787)</f>
        <v>3787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391.38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IFERROR(__xludf.DUMMYFUNCTION("IMPORTRANGE(""https://docs.google.com/spreadsheets/d/1QqKyyYR6Q21VydFLVH3TRQUabQu_ym0Zz7PgGX0-kHA/edit?usp=sharing"",""แผน!HJ41"")"),391.38)</f>
        <v>391.38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IFERROR(__xludf.DUMMYFUNCTION("IMPORTRANGE(""https://docs.google.com/spreadsheets/d/1QqKyyYR6Q21VydFLVH3TRQUabQu_ym0Zz7PgGX0-kHA/edit?usp=sharing"",""แผน!HI41"")"),28)</f>
        <v>28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IFERROR(__xludf.DUMMYFUNCTION("IMPORTRANGE(""https://docs.google.com/spreadsheets/d/1QqKyyYR6Q21VydFLVH3TRQUabQu_ym0Zz7PgGX0-kHA/edit?usp=sharing"",""แผน!HL41"")"),0)</f>
        <v>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IFERROR(__xludf.DUMMYFUNCTION("IMPORTRANGE(""https://docs.google.com/spreadsheets/d/1QqKyyYR6Q21VydFLVH3TRQUabQu_ym0Zz7PgGX0-kHA/edit?usp=sharing"",""แผน!HK41"")"),0)</f>
        <v>0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205</v>
      </c>
      <c r="J628" s="1398">
        <f t="shared" ca="1" si="262"/>
        <v>51</v>
      </c>
      <c r="K628" s="1399">
        <f ca="1">IF(I628&gt;0,J628*100/I628,0)</f>
        <v>24.878048780487806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419495</v>
      </c>
      <c r="M629" s="1000">
        <f t="shared" si="263"/>
        <v>0</v>
      </c>
      <c r="N629" s="1000">
        <f t="shared" si="263"/>
        <v>161358</v>
      </c>
      <c r="O629" s="1000">
        <f t="shared" ref="O629:O634" ca="1" si="264">IF(L629&gt;0,N629*100/L629,0)</f>
        <v>38.464820796433806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419495</v>
      </c>
      <c r="M631" s="870">
        <f t="shared" si="266"/>
        <v>0</v>
      </c>
      <c r="N631" s="870">
        <f t="shared" si="266"/>
        <v>161358</v>
      </c>
      <c r="O631" s="870">
        <f t="shared" ca="1" si="264"/>
        <v>38.464820796433806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419495</v>
      </c>
      <c r="M632" s="864">
        <f t="shared" si="267"/>
        <v>0</v>
      </c>
      <c r="N632" s="864">
        <f t="shared" si="267"/>
        <v>161358</v>
      </c>
      <c r="O632" s="864">
        <f t="shared" ca="1" si="264"/>
        <v>38.464820796433806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IFERROR(__xludf.DUMMYFUNCTION("IMPORTRANGE(""https://docs.google.com/spreadsheets/d/1QqKyyYR6Q21VydFLVH3TRQUabQu_ym0Zz7PgGX0-kHA/edit?usp=sharing"",""แผน!HN41"")"),419495)</f>
        <v>419495</v>
      </c>
      <c r="M634" s="870">
        <v>0</v>
      </c>
      <c r="N634" s="870">
        <f>N635+N636+N637+N638</f>
        <v>161358</v>
      </c>
      <c r="O634" s="870">
        <f t="shared" ca="1" si="264"/>
        <v>38.464820796433806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f>13000+13000+13000+11700</f>
        <v>50700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9400+18000+11160+14938+14540+16200+26420</f>
        <v>110658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IFERROR(__xludf.DUMMYFUNCTION("IMPORTRANGE(""https://docs.google.com/spreadsheets/d/1QqKyyYR6Q21VydFLVH3TRQUabQu_ym0Zz7PgGX0-kHA/edit?usp=sharing"",""แผน!HQ41"")"),0)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IFERROR(__xludf.DUMMYFUNCTION("IMPORTRANGE(""https://docs.google.com/spreadsheets/d/1QqKyyYR6Q21VydFLVH3TRQUabQu_ym0Zz7PgGX0-kHA/edit?usp=sharing"",""แผน!HR41"")"),0)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IFERROR(__xludf.DUMMYFUNCTION("IMPORTRANGE(""https://docs.google.com/spreadsheets/d/1QqKyyYR6Q21VydFLVH3TRQUabQu_ym0Zz7PgGX0-kHA/edit?usp=sharing"",""แผน!HR41"")"),0)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IFERROR(__xludf.DUMMYFUNCTION("IMPORTRANGE(""https://docs.google.com/spreadsheets/d/1XWAQStnk-4SwqDmLtmXYiTMKHgktTP8We1SCoS47DrQ/edit?usp=sharing"",""จัดที่ดิน!AS41"")"),85)</f>
        <v>85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IFERROR(__xludf.DUMMYFUNCTION("IMPORTRANGE(""https://docs.google.com/spreadsheets/d/1XWAQStnk-4SwqDmLtmXYiTMKHgktTP8We1SCoS47DrQ/edit?usp=sharing"",""จัดที่ดิน!AT41"")"),32.4)</f>
        <v>32.4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IFERROR(__xludf.DUMMYFUNCTION("IMPORTRANGE(""https://docs.google.com/spreadsheets/d/1QqKyyYR6Q21VydFLVH3TRQUabQu_ym0Zz7PgGX0-kHA/edit?usp=sharing"",""แผน!HS41"")"),205)</f>
        <v>205</v>
      </c>
      <c r="J647" s="863">
        <f ca="1">IFERROR(__xludf.DUMMYFUNCTION("IMPORTRANGE(""https://docs.google.com/spreadsheets/d/1XWAQStnk-4SwqDmLtmXYiTMKHgktTP8We1SCoS47DrQ/edit?usp=sharing"",""จัดที่ดิน!AU41"")"),84)</f>
        <v>84</v>
      </c>
      <c r="K647" s="978">
        <f t="shared" ca="1" si="271"/>
        <v>40.975609756097562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IFERROR(__xludf.DUMMYFUNCTION("IMPORTRANGE(""https://docs.google.com/spreadsheets/d/1XWAQStnk-4SwqDmLtmXYiTMKHgktTP8We1SCoS47DrQ/edit?usp=sharing"",""จัดที่ดิน!AV41"")"),32.4)</f>
        <v>32.4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IFERROR(__xludf.DUMMYFUNCTION("IMPORTRANGE(""https://docs.google.com/spreadsheets/d/1QqKyyYR6Q21VydFLVH3TRQUabQu_ym0Zz7PgGX0-kHA/edit?usp=sharing"",""แผน!HS41"")"),205)</f>
        <v>205</v>
      </c>
      <c r="J649" s="863">
        <f ca="1">IFERROR(__xludf.DUMMYFUNCTION("IMPORTRANGE(""https://docs.google.com/spreadsheets/d/1XWAQStnk-4SwqDmLtmXYiTMKHgktTP8We1SCoS47DrQ/edit?usp=sharing"",""จัดที่ดิน!AW41"")"),53)</f>
        <v>53</v>
      </c>
      <c r="K649" s="978">
        <f t="shared" ca="1" si="271"/>
        <v>25.853658536585368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IFERROR(__xludf.DUMMYFUNCTION("IMPORTRANGE(""https://docs.google.com/spreadsheets/d/1XWAQStnk-4SwqDmLtmXYiTMKHgktTP8We1SCoS47DrQ/edit?usp=sharing"",""จัดที่ดิน!AX41"")"),20.6)</f>
        <v>20.6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IFERROR(__xludf.DUMMYFUNCTION("IMPORTRANGE(""https://docs.google.com/spreadsheets/d/1QqKyyYR6Q21VydFLVH3TRQUabQu_ym0Zz7PgGX0-kHA/edit?usp=sharing"",""แผน!HS41"")"),205)</f>
        <v>205</v>
      </c>
      <c r="J651" s="863">
        <f ca="1">IFERROR(__xludf.DUMMYFUNCTION("IMPORTRANGE(""https://docs.google.com/spreadsheets/d/1XWAQStnk-4SwqDmLtmXYiTMKHgktTP8We1SCoS47DrQ/edit?usp=sharing"",""จัดที่ดิน!AY41"")"),51)</f>
        <v>51</v>
      </c>
      <c r="K651" s="978">
        <f t="shared" ca="1" si="271"/>
        <v>24.878048780487806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IFERROR(__xludf.DUMMYFUNCTION("IMPORTRANGE(""https://docs.google.com/spreadsheets/d/1XWAQStnk-4SwqDmLtmXYiTMKHgktTP8We1SCoS47DrQ/edit?usp=sharing"",""จัดที่ดิน!AZ41"")"),19.87)</f>
        <v>19.87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 hidden="1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IFERROR(__xludf.DUMMYFUNCTION("IMPORTRANGE(""https://docs.google.com/spreadsheets/d/1QqKyyYR6Q21VydFLVH3TRQUabQu_ym0Zz7PgGX0-kHA/edit?usp=sharing"",""แผน!HV41"")"),0)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IFERROR(__xludf.DUMMYFUNCTION("IMPORTRANGE(""https://docs.google.com/spreadsheets/d/1QqKyyYR6Q21VydFLVH3TRQUabQu_ym0Zz7PgGX0-kHA/edit?usp=sharing"",""แผน!IA41"")"),0)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IFERROR(__xludf.DUMMYFUNCTION("IMPORTRANGE(""https://docs.google.com/spreadsheets/d/1QqKyyYR6Q21VydFLVH3TRQUabQu_ym0Zz7PgGX0-kHA/edit?usp=sharing"",""แผน!HZ41"")"),0)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IFERROR(__xludf.DUMMYFUNCTION("IMPORTRANGE(""https://docs.google.com/spreadsheets/d/1QqKyyYR6Q21VydFLVH3TRQUabQu_ym0Zz7PgGX0-kHA/edit?usp=sharing"",""แผน!HZ41"")"),0)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IFERROR(__xludf.DUMMYFUNCTION("IMPORTRANGE(""https://docs.google.com/spreadsheets/d/1QqKyyYR6Q21VydFLVH3TRQUabQu_ym0Zz7PgGX0-kHA/edit?usp=sharing"",""แผน!IB41"")"),0)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 hidden="1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 hidden="1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 hidden="1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IFERROR(__xludf.DUMMYFUNCTION("IMPORTRANGE(""https://docs.google.com/spreadsheets/d/1QqKyyYR6Q21VydFLVH3TRQUabQu_ym0Zz7PgGX0-kHA/edit?usp=sharing"",""แผน!HW41"")"),0)</f>
        <v>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 hidden="1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 hidden="1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 hidden="1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 hidden="1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 hidden="1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 hidden="1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 hidden="1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IFERROR(__xludf.DUMMYFUNCTION("IMPORTRANGE(""https://docs.google.com/spreadsheets/d/1QqKyyYR6Q21VydFLVH3TRQUabQu_ym0Zz7PgGX0-kHA/edit?usp=sharing"",""แผน!IC41"")"),0)</f>
        <v>0</v>
      </c>
      <c r="J699" s="863">
        <f ca="1">IFERROR(__xludf.DUMMYFUNCTION("IMPORTRANGE(""https://docs.google.com/spreadsheets/d/1XWAQStnk-4SwqDmLtmXYiTMKHgktTP8We1SCoS47DrQ/edit?usp=sharing"",""จัดที่ดิน!BB41"")"),0)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 hidden="1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IFERROR(__xludf.DUMMYFUNCTION("IMPORTRANGE(""https://docs.google.com/spreadsheets/d/1QqKyyYR6Q21VydFLVH3TRQUabQu_ym0Zz7PgGX0-kHA/edit?usp=sharing"",""แผน!ID41"")"),0)</f>
        <v>0</v>
      </c>
      <c r="J700" s="863">
        <f ca="1">IFERROR(__xludf.DUMMYFUNCTION("IMPORTRANGE(""https://docs.google.com/spreadsheets/d/1XWAQStnk-4SwqDmLtmXYiTMKHgktTP8We1SCoS47DrQ/edit?usp=sharing"",""จัดที่ดิน!BD41"")"),0)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IFERROR(__xludf.DUMMYFUNCTION("IMPORTRANGE(""https://docs.google.com/spreadsheets/d/1QqKyyYR6Q21VydFLVH3TRQUabQu_ym0Zz7PgGX0-kHA/edit?usp=sharing"",""แผน!IE41"")"),0)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IFERROR(__xludf.DUMMYFUNCTION("IMPORTRANGE(""https://docs.google.com/spreadsheets/d/1QqKyyYR6Q21VydFLVH3TRQUabQu_ym0Zz7PgGX0-kHA/edit?usp=sharing"",""แผน!IF41"")"),0)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IFERROR(__xludf.DUMMYFUNCTION("IMPORTRANGE(""https://docs.google.com/spreadsheets/d/1QqKyyYR6Q21VydFLVH3TRQUabQu_ym0Zz7PgGX0-kHA/edit?usp=sharing"",""แผน!IG41"")"),0)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IFERROR(__xludf.DUMMYFUNCTION("IMPORTRANGE(""https://docs.google.com/spreadsheets/d/1QqKyyYR6Q21VydFLVH3TRQUabQu_ym0Zz7PgGX0-kHA/edit?usp=sharing"",""แผน!IH41"")"),0)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IFERROR(__xludf.DUMMYFUNCTION("IMPORTRANGE(""https://docs.google.com/spreadsheets/d/1XWAQStnk-4SwqDmLtmXYiTMKHgktTP8We1SCoS47DrQ/edit?usp=sharing"",""จัดที่ดิน!BF41"")"),0)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IFERROR(__xludf.DUMMYFUNCTION("IMPORTRANGE(""https://docs.google.com/spreadsheets/d/1XWAQStnk-4SwqDmLtmXYiTMKHgktTP8We1SCoS47DrQ/edit?usp=sharing"",""จัดที่ดิน!BG41"")"),0)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IFERROR(__xludf.DUMMYFUNCTION("IMPORTRANGE(""https://docs.google.com/spreadsheets/d/1QqKyyYR6Q21VydFLVH3TRQUabQu_ym0Zz7PgGX0-kHA/edit?usp=sharing"",""แผน!II41"")"),0)</f>
        <v>0</v>
      </c>
      <c r="J720" s="863">
        <f ca="1">IFERROR(__xludf.DUMMYFUNCTION("IMPORTRANGE(""https://docs.google.com/spreadsheets/d/1XWAQStnk-4SwqDmLtmXYiTMKHgktTP8We1SCoS47DrQ/edit?usp=sharing"",""จัดที่ดิน!BH41"")"),0)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IFERROR(__xludf.DUMMYFUNCTION("IMPORTRANGE(""https://docs.google.com/spreadsheets/d/1QqKyyYR6Q21VydFLVH3TRQUabQu_ym0Zz7PgGX0-kHA/edit?usp=sharing"",""แผน!IJ41"")"),0)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IFERROR(__xludf.DUMMYFUNCTION("IMPORTRANGE(""https://docs.google.com/spreadsheets/d/1QqKyyYR6Q21VydFLVH3TRQUabQu_ym0Zz7PgGX0-kHA/edit?usp=sharing"",""แผน!IK41"")"),0)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IFERROR(__xludf.DUMMYFUNCTION("IMPORTRANGE(""https://docs.google.com/spreadsheets/d/1QqKyyYR6Q21VydFLVH3TRQUabQu_ym0Zz7PgGX0-kHA/edit?usp=sharing"",""แผน!IL41"")"),0)</f>
        <v>0</v>
      </c>
      <c r="J723" s="863">
        <f ca="1">IFERROR(__xludf.DUMMYFUNCTION("IMPORTRANGE(""https://docs.google.com/spreadsheets/d/1XWAQStnk-4SwqDmLtmXYiTMKHgktTP8We1SCoS47DrQ/edit?usp=sharing"",""จัดที่ดิน!BM41"")"),0)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IFERROR(__xludf.DUMMYFUNCTION("IMPORTRANGE(""https://docs.google.com/spreadsheets/d/1XWAQStnk-4SwqDmLtmXYiTMKHgktTP8We1SCoS47DrQ/edit?usp=sharing"",""จัดที่ดิน!BN41"")"),0)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IFERROR(__xludf.DUMMYFUNCTION("IMPORTRANGE(""https://docs.google.com/spreadsheets/d/1QqKyyYR6Q21VydFLVH3TRQUabQu_ym0Zz7PgGX0-kHA/edit?usp=sharing"",""แผน!IM41"")"),0)</f>
        <v>0</v>
      </c>
      <c r="J725" s="863">
        <f ca="1">IFERROR(__xludf.DUMMYFUNCTION("IMPORTRANGE(""https://docs.google.com/spreadsheets/d/1XWAQStnk-4SwqDmLtmXYiTMKHgktTP8We1SCoS47DrQ/edit?usp=sharing"",""จัดที่ดิน!BO41"")"),0)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IFERROR(__xludf.DUMMYFUNCTION("IMPORTRANGE(""https://docs.google.com/spreadsheets/d/1QqKyyYR6Q21VydFLVH3TRQUabQu_ym0Zz7PgGX0-kHA/edit?usp=sharing"",""แผน!IN41"")"),0)</f>
        <v>0</v>
      </c>
      <c r="J726" s="863">
        <f ca="1">IFERROR(__xludf.DUMMYFUNCTION("IMPORTRANGE(""https://docs.google.com/spreadsheets/d/1XWAQStnk-4SwqDmLtmXYiTMKHgktTP8We1SCoS47DrQ/edit?usp=sharing"",""จัดที่ดิน!BR41"")"),0)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IFERROR(__xludf.DUMMYFUNCTION("IMPORTRANGE(""https://docs.google.com/spreadsheets/d/1XWAQStnk-4SwqDmLtmXYiTMKHgktTP8We1SCoS47DrQ/edit?usp=sharing"",""จัดที่ดิน!BS41"")"),0)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IFERROR(__xludf.DUMMYFUNCTION("IMPORTRANGE(""https://docs.google.com/spreadsheets/d/1QqKyyYR6Q21VydFLVH3TRQUabQu_ym0Zz7PgGX0-kHA/edit?usp=sharing"",""แผน!IO41"")"),0)</f>
        <v>0</v>
      </c>
      <c r="J728" s="863">
        <f ca="1">IFERROR(__xludf.DUMMYFUNCTION("IMPORTRANGE(""https://docs.google.com/spreadsheets/d/1XWAQStnk-4SwqDmLtmXYiTMKHgktTP8We1SCoS47DrQ/edit?usp=sharing"",""จัดที่ดิน!BT41"")"),0)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IFERROR(__xludf.DUMMYFUNCTION("IMPORTRANGE(""https://docs.google.com/spreadsheets/d/1QqKyyYR6Q21VydFLVH3TRQUabQu_ym0Zz7PgGX0-kHA/edit?usp=sharing"",""แผน!IP41"")"),0)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IFERROR(__xludf.DUMMYFUNCTION("IMPORTRANGE(""https://docs.google.com/spreadsheets/d/1QqKyyYR6Q21VydFLVH3TRQUabQu_ym0Zz7PgGX0-kHA/edit?usp=sharing"",""แผน!JJ41"")"),0)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IFERROR(__xludf.DUMMYFUNCTION("IMPORTRANGE(""https://docs.google.com/spreadsheets/d/1QqKyyYR6Q21VydFLVH3TRQUabQu_ym0Zz7PgGX0-kHA/edit?usp=sharing"",""แผน!JN41"")"),0)</f>
        <v>0</v>
      </c>
      <c r="J800" s="977">
        <f ca="1">IFERROR(__xludf.DUMMYFUNCTION("IMPORTRANGE(""https://docs.google.com/spreadsheets/d/1MaWodYyGHDf7siQLGxnXhG4mBNTNIuy296niS2xXulU/edit?usp=sharing"",""RTK!H41"")"),0)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IFERROR(__xludf.DUMMYFUNCTION("IMPORTRANGE(""https://docs.google.com/spreadsheets/d/1MaWodYyGHDf7siQLGxnXhG4mBNTNIuy296niS2xXulU/edit?usp=sharing"",""RTK!I41"")"),0)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863">
        <f ca="1">IFERROR(__xludf.DUMMYFUNCTION("IMPORTRANGE(""https://docs.google.com/spreadsheets/d/19vJNZY_5yjcGF2XGBMNZRCAIB0Kwfpjp8YEOfu-bneM/edit?usp=sharing"",""งานกองทุน!F41"")"),2178313.4)</f>
        <v>2178313.4</v>
      </c>
      <c r="K821" s="864">
        <f t="shared" ref="K821:K828" ca="1" si="335">IF(I821&gt;0,J821*100/I821,0)</f>
        <v>31.017890859306213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IFERROR(__xludf.DUMMYFUNCTION("IMPORTRANGE(""https://docs.google.com/spreadsheets/d/19vJNZY_5yjcGF2XGBMNZRCAIB0Kwfpjp8YEOfu-bneM/edit?usp=sharing"",""งานกองทุน!C41"")"),650)</f>
        <v>650</v>
      </c>
      <c r="J822" s="863">
        <f ca="1">IFERROR(__xludf.DUMMYFUNCTION("IMPORTRANGE(""https://docs.google.com/spreadsheets/d/19vJNZY_5yjcGF2XGBMNZRCAIB0Kwfpjp8YEOfu-bneM/edit?usp=sharing"",""งานกองทุน!E41"")"),206)</f>
        <v>206</v>
      </c>
      <c r="K822" s="864">
        <f t="shared" ca="1" si="335"/>
        <v>31.692307692307693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863">
        <f ca="1">IFERROR(__xludf.DUMMYFUNCTION("IMPORTRANGE(""https://docs.google.com/spreadsheets/d/19vJNZY_5yjcGF2XGBMNZRCAIB0Kwfpjp8YEOfu-bneM/edit?usp=sharing"",""งานกองทุน!K41"")"),555769.23)</f>
        <v>555769.23</v>
      </c>
      <c r="K823" s="864">
        <f t="shared" ca="1" si="335"/>
        <v>12.939283787055187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IFERROR(__xludf.DUMMYFUNCTION("IMPORTRANGE(""https://docs.google.com/spreadsheets/d/19vJNZY_5yjcGF2XGBMNZRCAIB0Kwfpjp8YEOfu-bneM/edit?usp=sharing"",""งานกองทุน!H41"")"),251)</f>
        <v>251</v>
      </c>
      <c r="J824" s="863">
        <f ca="1">IFERROR(__xludf.DUMMYFUNCTION("IMPORTRANGE(""https://docs.google.com/spreadsheets/d/19vJNZY_5yjcGF2XGBMNZRCAIB0Kwfpjp8YEOfu-bneM/edit?usp=sharing"",""งานกองทุน!J41"")"),72)</f>
        <v>72</v>
      </c>
      <c r="K824" s="864">
        <f t="shared" ca="1" si="335"/>
        <v>28.685258964143426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IFERROR(__xludf.DUMMYFUNCTION("IMPORTRANGE(""https://docs.google.com/spreadsheets/d/19vJNZY_5yjcGF2XGBMNZRCAIB0Kwfpjp8YEOfu-bneM/edit?usp=sharing"",""งานกองทุน!N41"")"),0)</f>
        <v>0</v>
      </c>
      <c r="J825" s="863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864">
        <f t="shared" ca="1" si="335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IFERROR(__xludf.DUMMYFUNCTION("IMPORTRANGE(""https://docs.google.com/spreadsheets/d/19vJNZY_5yjcGF2XGBMNZRCAIB0Kwfpjp8YEOfu-bneM/edit?usp=sharing"",""งานกองทุน!M41"")"),0)</f>
        <v>0</v>
      </c>
      <c r="J826" s="863">
        <f ca="1">IFERROR(__xludf.DUMMYFUNCTION("IMPORTRANGE(""https://docs.google.com/spreadsheets/d/19vJNZY_5yjcGF2XGBMNZRCAIB0Kwfpjp8YEOfu-bneM/edit?usp=sharing"",""งานกองทุน!O41"")"),1)</f>
        <v>1</v>
      </c>
      <c r="K826" s="864">
        <f t="shared" ca="1" si="335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IFERROR(__xludf.DUMMYFUNCTION("IMPORTRANGE(""https://docs.google.com/spreadsheets/d/19vJNZY_5yjcGF2XGBMNZRCAIB0Kwfpjp8YEOfu-bneM/edit?usp=sharing"",""งานกองทุน!S41"")"),8000000)</f>
        <v>8000000</v>
      </c>
      <c r="J827" s="863">
        <f ca="1">IFERROR(__xludf.DUMMYFUNCTION("IMPORTRANGE(""https://docs.google.com/spreadsheets/d/19vJNZY_5yjcGF2XGBMNZRCAIB0Kwfpjp8YEOfu-bneM/edit?usp=sharing"",""งานกองทุน!U41"")"),3765000)</f>
        <v>3765000</v>
      </c>
      <c r="K827" s="864">
        <f t="shared" ca="1" si="335"/>
        <v>47.0625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IFERROR(__xludf.DUMMYFUNCTION("IMPORTRANGE(""https://docs.google.com/spreadsheets/d/19vJNZY_5yjcGF2XGBMNZRCAIB0Kwfpjp8YEOfu-bneM/edit?usp=sharing"",""งานกองทุน!R41"")"),258)</f>
        <v>258</v>
      </c>
      <c r="J828" s="1117">
        <f ca="1">IFERROR(__xludf.DUMMYFUNCTION("IMPORTRANGE(""https://docs.google.com/spreadsheets/d/19vJNZY_5yjcGF2XGBMNZRCAIB0Kwfpjp8YEOfu-bneM/edit?usp=sharing"",""งานกองทุน!T41"")"),100)</f>
        <v>100</v>
      </c>
      <c r="K828" s="1215">
        <f t="shared" ca="1" si="335"/>
        <v>38.759689922480618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B471-5874-4096-8EC4-6F040E3E125C}">
  <sheetPr>
    <outlinePr summaryBelow="0" summaryRight="0"/>
    <pageSetUpPr fitToPage="1"/>
  </sheetPr>
  <dimension ref="A1:Z828"/>
  <sheetViews>
    <sheetView view="pageBreakPreview" topLeftCell="B1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347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7562279</v>
      </c>
      <c r="M8" s="850">
        <f t="shared" ca="1" si="0"/>
        <v>4346173</v>
      </c>
      <c r="N8" s="850">
        <f t="shared" ca="1" si="0"/>
        <v>4242575.7799999993</v>
      </c>
      <c r="O8" s="850">
        <f t="shared" ref="O8:O16" ca="1" si="1">IF(L8&gt;0,N8*100/L8,0)</f>
        <v>56.101815074529775</v>
      </c>
      <c r="P8" s="850">
        <f t="shared" ref="P8:P16" ca="1" si="2">IF(M8&gt;0,N8*100/M8,0)</f>
        <v>97.616357655344132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7562279</v>
      </c>
      <c r="M10" s="857">
        <f t="shared" ca="1" si="3"/>
        <v>4346173</v>
      </c>
      <c r="N10" s="857">
        <f t="shared" ca="1" si="3"/>
        <v>4242575.7799999993</v>
      </c>
      <c r="O10" s="857">
        <f t="shared" ca="1" si="1"/>
        <v>56.101815074529775</v>
      </c>
      <c r="P10" s="857">
        <f t="shared" ca="1" si="2"/>
        <v>97.616357655344132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7237579</v>
      </c>
      <c r="M11" s="864">
        <f t="shared" ca="1" si="4"/>
        <v>4021473</v>
      </c>
      <c r="N11" s="864">
        <f t="shared" ca="1" si="4"/>
        <v>3917875.78</v>
      </c>
      <c r="O11" s="864">
        <f t="shared" ca="1" si="1"/>
        <v>54.132407812059803</v>
      </c>
      <c r="P11" s="864">
        <f t="shared" ca="1" si="2"/>
        <v>97.423898656039711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7237579</v>
      </c>
      <c r="M13" s="870">
        <f t="shared" ca="1" si="5"/>
        <v>4021473</v>
      </c>
      <c r="N13" s="870">
        <f t="shared" ca="1" si="5"/>
        <v>3917875.78</v>
      </c>
      <c r="O13" s="870">
        <f t="shared" ca="1" si="1"/>
        <v>54.132407812059803</v>
      </c>
      <c r="P13" s="870">
        <f t="shared" ca="1" si="2"/>
        <v>97.423898656039711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324700</v>
      </c>
      <c r="M14" s="864">
        <f t="shared" ca="1" si="6"/>
        <v>324700</v>
      </c>
      <c r="N14" s="864">
        <f t="shared" ca="1" si="6"/>
        <v>324700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324700</v>
      </c>
      <c r="M16" s="876">
        <f t="shared" ca="1" si="7"/>
        <v>324700</v>
      </c>
      <c r="N16" s="876">
        <f t="shared" ca="1" si="7"/>
        <v>324700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5055232</v>
      </c>
      <c r="M18" s="850">
        <f t="shared" ca="1" si="8"/>
        <v>4346173</v>
      </c>
      <c r="N18" s="850">
        <f t="shared" ca="1" si="8"/>
        <v>3119697.07</v>
      </c>
      <c r="O18" s="850">
        <f t="shared" ref="O18:O26" ca="1" si="9">IF(L18&gt;0,N18*100/L18,0)</f>
        <v>61.712243275877348</v>
      </c>
      <c r="P18" s="850">
        <f t="shared" ref="P18:P26" ca="1" si="10">IF(M18&gt;0,N18*100/M18,0)</f>
        <v>71.780324207066769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5055232</v>
      </c>
      <c r="M20" s="857">
        <f t="shared" ca="1" si="11"/>
        <v>4346173</v>
      </c>
      <c r="N20" s="857">
        <f t="shared" ca="1" si="11"/>
        <v>3119697.07</v>
      </c>
      <c r="O20" s="857">
        <f t="shared" ca="1" si="9"/>
        <v>61.712243275877348</v>
      </c>
      <c r="P20" s="857">
        <f t="shared" ca="1" si="10"/>
        <v>71.780324207066769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4730532</v>
      </c>
      <c r="M21" s="864">
        <f t="shared" ca="1" si="12"/>
        <v>4021473</v>
      </c>
      <c r="N21" s="864">
        <f t="shared" ca="1" si="12"/>
        <v>2794997.07</v>
      </c>
      <c r="O21" s="864">
        <f t="shared" ca="1" si="9"/>
        <v>59.084201734604058</v>
      </c>
      <c r="P21" s="864">
        <f t="shared" ca="1" si="10"/>
        <v>69.50182358553694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4730532</v>
      </c>
      <c r="M23" s="870">
        <f t="shared" ca="1" si="13"/>
        <v>4021473</v>
      </c>
      <c r="N23" s="870">
        <f t="shared" ca="1" si="13"/>
        <v>2794997.07</v>
      </c>
      <c r="O23" s="870">
        <f t="shared" ca="1" si="9"/>
        <v>59.084201734604058</v>
      </c>
      <c r="P23" s="870">
        <f t="shared" ca="1" si="10"/>
        <v>69.50182358553694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324700</v>
      </c>
      <c r="M24" s="864">
        <f t="shared" ca="1" si="14"/>
        <v>324700</v>
      </c>
      <c r="N24" s="864">
        <f t="shared" ca="1" si="14"/>
        <v>324700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324700</v>
      </c>
      <c r="M26" s="876">
        <f t="shared" ca="1" si="15"/>
        <v>324700</v>
      </c>
      <c r="N26" s="876">
        <f t="shared" ca="1" si="15"/>
        <v>324700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2507047</v>
      </c>
      <c r="M28" s="850">
        <f t="shared" si="16"/>
        <v>0</v>
      </c>
      <c r="N28" s="850">
        <f t="shared" si="16"/>
        <v>1122878.71</v>
      </c>
      <c r="O28" s="850">
        <f t="shared" ref="O28:O37" ca="1" si="17">IF(L28&gt;0,N28*100/L28,0)</f>
        <v>44.788897455851448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2507047</v>
      </c>
      <c r="M30" s="857">
        <f t="shared" si="19"/>
        <v>0</v>
      </c>
      <c r="N30" s="857">
        <f t="shared" si="19"/>
        <v>1122878.71</v>
      </c>
      <c r="O30" s="857">
        <f t="shared" ca="1" si="17"/>
        <v>44.788897455851448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2507047</v>
      </c>
      <c r="M31" s="864">
        <f t="shared" si="20"/>
        <v>0</v>
      </c>
      <c r="N31" s="864">
        <f t="shared" si="20"/>
        <v>1122878.71</v>
      </c>
      <c r="O31" s="864">
        <f t="shared" ca="1" si="17"/>
        <v>44.788897455851448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2507047</v>
      </c>
      <c r="M33" s="870">
        <f t="shared" si="21"/>
        <v>0</v>
      </c>
      <c r="N33" s="870">
        <f t="shared" si="21"/>
        <v>1122878.71</v>
      </c>
      <c r="O33" s="870">
        <f t="shared" ca="1" si="17"/>
        <v>44.788897455851448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5055232</v>
      </c>
      <c r="M37" s="883">
        <f t="shared" ca="1" si="24"/>
        <v>4346173</v>
      </c>
      <c r="N37" s="883">
        <f t="shared" ca="1" si="24"/>
        <v>3119697.07</v>
      </c>
      <c r="O37" s="883">
        <f t="shared" ca="1" si="17"/>
        <v>61.712243275877348</v>
      </c>
      <c r="P37" s="883">
        <f t="shared" ca="1" si="18"/>
        <v>71.780324207066769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930492</v>
      </c>
      <c r="M41" s="908">
        <f t="shared" ca="1" si="25"/>
        <v>941838</v>
      </c>
      <c r="N41" s="908">
        <f t="shared" ca="1" si="25"/>
        <v>501965</v>
      </c>
      <c r="O41" s="908">
        <f t="shared" ref="O41:O49" ca="1" si="26">IF(L41&gt;0,N41*100/L41,0)</f>
        <v>53.946191907077115</v>
      </c>
      <c r="P41" s="908">
        <f t="shared" ref="P41:P49" ca="1" si="27">IF(M41&gt;0,N41*100/M41,0)</f>
        <v>53.296320598659214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930492</v>
      </c>
      <c r="M43" s="914">
        <f t="shared" ca="1" si="28"/>
        <v>941838</v>
      </c>
      <c r="N43" s="914">
        <f t="shared" ca="1" si="28"/>
        <v>501965</v>
      </c>
      <c r="O43" s="914">
        <f t="shared" ca="1" si="26"/>
        <v>53.946191907077115</v>
      </c>
      <c r="P43" s="914">
        <f t="shared" ca="1" si="27"/>
        <v>53.296320598659214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930492</v>
      </c>
      <c r="M44" s="864">
        <f t="shared" ca="1" si="29"/>
        <v>941838</v>
      </c>
      <c r="N44" s="864">
        <f t="shared" ca="1" si="29"/>
        <v>501965</v>
      </c>
      <c r="O44" s="864">
        <f t="shared" ca="1" si="26"/>
        <v>53.946191907077115</v>
      </c>
      <c r="P44" s="864">
        <f t="shared" ca="1" si="27"/>
        <v>53.296320598659214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IFERROR(__xludf.DUMMYFUNCTION("IMPORTRANGE(""https://docs.google.com/spreadsheets/d/1MeEWN-I1oV_STSDYn1IFDPWt_1FKiwhDph83XaGc0o0/edit?usp=sharing"",""งบพรบ!M42"")"),930492)</f>
        <v>930492</v>
      </c>
      <c r="M46" s="870">
        <f ca="1">IFERROR(__xludf.DUMMYFUNCTION("IMPORTRANGE(""https://docs.google.com/spreadsheets/d/1MeEWN-I1oV_STSDYn1IFDPWt_1FKiwhDph83XaGc0o0/edit?usp=sharing"",""งบพรบ!R42"")"),941838)</f>
        <v>941838</v>
      </c>
      <c r="N46" s="870">
        <f ca="1">IFERROR(__xludf.DUMMYFUNCTION("IMPORTRANGE(""https://docs.google.com/spreadsheets/d/1MeEWN-I1oV_STSDYn1IFDPWt_1FKiwhDph83XaGc0o0/edit?usp=sharing"",""งบพรบ!T42"")"),501965)</f>
        <v>501965</v>
      </c>
      <c r="O46" s="870">
        <f t="shared" ca="1" si="26"/>
        <v>53.946191907077115</v>
      </c>
      <c r="P46" s="870">
        <f t="shared" ca="1" si="27"/>
        <v>53.296320598659214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IFERROR(__xludf.DUMMYFUNCTION("IMPORTRANGE(""https://docs.google.com/spreadsheets/d/1MeEWN-I1oV_STSDYn1IFDPWt_1FKiwhDph83XaGc0o0/edit?usp=sharing"",""งบพรบ!P42"")"),0)</f>
        <v>0</v>
      </c>
      <c r="M49" s="876">
        <f ca="1">IFERROR(__xludf.DUMMYFUNCTION("IMPORTRANGE(""https://docs.google.com/spreadsheets/d/1MeEWN-I1oV_STSDYn1IFDPWt_1FKiwhDph83XaGc0o0/edit?usp=sharing"",""งบพรบ!S42"")"),0)</f>
        <v>0</v>
      </c>
      <c r="N49" s="876">
        <f ca="1">IFERROR(__xludf.DUMMYFUNCTION("IMPORTRANGE(""https://docs.google.com/spreadsheets/d/1MeEWN-I1oV_STSDYn1IFDPWt_1FKiwhDph83XaGc0o0/edit?usp=sharing"",""งบพรบ!U42"")"),0)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1012100</v>
      </c>
      <c r="M53" s="936">
        <f t="shared" ca="1" si="31"/>
        <v>842495</v>
      </c>
      <c r="N53" s="936">
        <f t="shared" ca="1" si="31"/>
        <v>698447.94</v>
      </c>
      <c r="O53" s="936">
        <f t="shared" ref="O53:O61" ca="1" si="32">IF(L53&gt;0,N53*100/L53,0)</f>
        <v>69.009775713862268</v>
      </c>
      <c r="P53" s="936">
        <f t="shared" ref="P53:P61" ca="1" si="33">IF(M53&gt;0,N53*100/M53,0)</f>
        <v>82.902324642876223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1012100</v>
      </c>
      <c r="M55" s="942">
        <f t="shared" ca="1" si="34"/>
        <v>842495</v>
      </c>
      <c r="N55" s="942">
        <f t="shared" ca="1" si="34"/>
        <v>698447.94</v>
      </c>
      <c r="O55" s="942">
        <f t="shared" ca="1" si="32"/>
        <v>69.009775713862268</v>
      </c>
      <c r="P55" s="942">
        <f t="shared" ca="1" si="33"/>
        <v>82.902324642876223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904900</v>
      </c>
      <c r="M56" s="864">
        <f t="shared" ca="1" si="35"/>
        <v>735295</v>
      </c>
      <c r="N56" s="864">
        <f t="shared" ca="1" si="35"/>
        <v>591247.93999999994</v>
      </c>
      <c r="O56" s="864">
        <f t="shared" ca="1" si="32"/>
        <v>65.338483810365773</v>
      </c>
      <c r="P56" s="864">
        <f t="shared" ca="1" si="33"/>
        <v>80.409623348451973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IFERROR(__xludf.DUMMYFUNCTION("IMPORTRANGE(""https://docs.google.com/spreadsheets/d/1MeEWN-I1oV_STSDYn1IFDPWt_1FKiwhDph83XaGc0o0/edit?usp=sharing"",""งบพรบ!W42"")"),904900)</f>
        <v>904900</v>
      </c>
      <c r="M58" s="870">
        <f ca="1">IFERROR(__xludf.DUMMYFUNCTION("IMPORTRANGE(""https://docs.google.com/spreadsheets/d/1MeEWN-I1oV_STSDYn1IFDPWt_1FKiwhDph83XaGc0o0/edit?usp=sharing"",""งบพรบ!AB42"")"),735295)</f>
        <v>735295</v>
      </c>
      <c r="N58" s="870">
        <f ca="1">IFERROR(__xludf.DUMMYFUNCTION("IMPORTRANGE(""https://docs.google.com/spreadsheets/d/1MeEWN-I1oV_STSDYn1IFDPWt_1FKiwhDph83XaGc0o0/edit?usp=sharing"",""งบพรบ!AD42"")"),591247.94)</f>
        <v>591247.93999999994</v>
      </c>
      <c r="O58" s="870">
        <f t="shared" ca="1" si="32"/>
        <v>65.338483810365773</v>
      </c>
      <c r="P58" s="870">
        <f t="shared" ca="1" si="33"/>
        <v>80.409623348451973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107200</v>
      </c>
      <c r="M59" s="864">
        <f t="shared" ca="1" si="36"/>
        <v>107200</v>
      </c>
      <c r="N59" s="864">
        <f t="shared" ca="1" si="36"/>
        <v>107200</v>
      </c>
      <c r="O59" s="864">
        <f t="shared" ca="1" si="32"/>
        <v>100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IFERROR(__xludf.DUMMYFUNCTION("IMPORTRANGE(""https://docs.google.com/spreadsheets/d/1MeEWN-I1oV_STSDYn1IFDPWt_1FKiwhDph83XaGc0o0/edit?usp=sharing"",""งบพรบ!Z42"")"),107200)</f>
        <v>107200</v>
      </c>
      <c r="M61" s="876">
        <f ca="1">IFERROR(__xludf.DUMMYFUNCTION("IMPORTRANGE(""https://docs.google.com/spreadsheets/d/1MeEWN-I1oV_STSDYn1IFDPWt_1FKiwhDph83XaGc0o0/edit?usp=sharing"",""งบพรบ!AC42"")"),107200)</f>
        <v>107200</v>
      </c>
      <c r="N61" s="876">
        <f ca="1">IFERROR(__xludf.DUMMYFUNCTION("IMPORTRANGE(""https://docs.google.com/spreadsheets/d/1MeEWN-I1oV_STSDYn1IFDPWt_1FKiwhDph83XaGc0o0/edit?usp=sharing"",""งบพรบ!AE42"")"),107200)</f>
        <v>107200</v>
      </c>
      <c r="O61" s="876">
        <f t="shared" ca="1" si="32"/>
        <v>100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40</v>
      </c>
      <c r="J65" s="962">
        <f t="shared" si="37"/>
        <v>40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954000</v>
      </c>
      <c r="M66" s="972">
        <f t="shared" ca="1" si="39"/>
        <v>707190</v>
      </c>
      <c r="N66" s="972">
        <f t="shared" ca="1" si="39"/>
        <v>593878.97</v>
      </c>
      <c r="O66" s="972">
        <f t="shared" ref="O66:O74" ca="1" si="40">IF(L66&gt;0,N66*100/L66,0)</f>
        <v>62.251464360587001</v>
      </c>
      <c r="P66" s="972">
        <f t="shared" ref="P66:P74" ca="1" si="41">IF(M66&gt;0,N66*100/M66,0)</f>
        <v>83.977286160720595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954000</v>
      </c>
      <c r="M68" s="870">
        <f t="shared" ca="1" si="42"/>
        <v>707190</v>
      </c>
      <c r="N68" s="870">
        <f t="shared" ca="1" si="42"/>
        <v>593878.97</v>
      </c>
      <c r="O68" s="870">
        <f t="shared" ca="1" si="40"/>
        <v>62.251464360587001</v>
      </c>
      <c r="P68" s="870">
        <f t="shared" ca="1" si="41"/>
        <v>83.977286160720595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954000</v>
      </c>
      <c r="M69" s="864">
        <f t="shared" ca="1" si="43"/>
        <v>707190</v>
      </c>
      <c r="N69" s="864">
        <f t="shared" ca="1" si="43"/>
        <v>593878.97</v>
      </c>
      <c r="O69" s="864">
        <f t="shared" ca="1" si="40"/>
        <v>62.251464360587001</v>
      </c>
      <c r="P69" s="864">
        <f t="shared" ca="1" si="41"/>
        <v>83.977286160720595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IFERROR(__xludf.DUMMYFUNCTION("IMPORTRANGE(""https://docs.google.com/spreadsheets/d/1MeEWN-I1oV_STSDYn1IFDPWt_1FKiwhDph83XaGc0o0/edit?usp=sharing"",""งบพรบ!AG42"")"),954000)</f>
        <v>954000</v>
      </c>
      <c r="M71" s="870">
        <f ca="1">IFERROR(__xludf.DUMMYFUNCTION("IMPORTRANGE(""https://docs.google.com/spreadsheets/d/1MeEWN-I1oV_STSDYn1IFDPWt_1FKiwhDph83XaGc0o0/edit?usp=sharing"",""งบพรบ!AL42"")"),707190)</f>
        <v>707190</v>
      </c>
      <c r="N71" s="870">
        <f ca="1">IFERROR(__xludf.DUMMYFUNCTION("IMPORTRANGE(""https://docs.google.com/spreadsheets/d/1MeEWN-I1oV_STSDYn1IFDPWt_1FKiwhDph83XaGc0o0/edit?usp=sharing"",""งบพรบ!AN42"")"),593878.97)</f>
        <v>593878.97</v>
      </c>
      <c r="O71" s="870">
        <f t="shared" ca="1" si="40"/>
        <v>62.251464360587001</v>
      </c>
      <c r="P71" s="870">
        <f t="shared" ca="1" si="41"/>
        <v>83.977286160720595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IFERROR(__xludf.DUMMYFUNCTION("IMPORTRANGE(""https://docs.google.com/spreadsheets/d/1MeEWN-I1oV_STSDYn1IFDPWt_1FKiwhDph83XaGc0o0/edit?usp=sharing"",""งบพรบ!AJ42"")"),0)</f>
        <v>0</v>
      </c>
      <c r="M74" s="870">
        <f ca="1">IFERROR(__xludf.DUMMYFUNCTION("IMPORTRANGE(""https://docs.google.com/spreadsheets/d/1MeEWN-I1oV_STSDYn1IFDPWt_1FKiwhDph83XaGc0o0/edit?usp=sharing"",""งบพรบ!AM42"")"),0)</f>
        <v>0</v>
      </c>
      <c r="N74" s="870">
        <f ca="1">IFERROR(__xludf.DUMMYFUNCTION("IMPORTRANGE(""https://docs.google.com/spreadsheets/d/1MeEWN-I1oV_STSDYn1IFDPWt_1FKiwhDph83XaGc0o0/edit?usp=sharing"",""งบพรบ!AO42"")"),0)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40</v>
      </c>
      <c r="J77" s="863">
        <f t="shared" si="45"/>
        <v>40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IFERROR(__xludf.DUMMYFUNCTION("IMPORTRANGE(""https://docs.google.com/spreadsheets/d/1QqKyyYR6Q21VydFLVH3TRQUabQu_ym0Zz7PgGX0-kHA/edit?usp=sharing"",""แผน!H42"")"),0)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IFERROR(__xludf.DUMMYFUNCTION("IMPORTRANGE(""https://docs.google.com/spreadsheets/d/1QqKyyYR6Q21VydFLVH3TRQUabQu_ym0Zz7PgGX0-kHA/edit?usp=sharing"",""แผน!I42"")"),0)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IFERROR(__xludf.DUMMYFUNCTION("IMPORTRANGE(""https://docs.google.com/spreadsheets/d/1QqKyyYR6Q21VydFLVH3TRQUabQu_ym0Zz7PgGX0-kHA/edit?usp=sharing"",""แผน!F42"")"),0)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IFERROR(__xludf.DUMMYFUNCTION("IMPORTRANGE(""https://docs.google.com/spreadsheets/d/1QqKyyYR6Q21VydFLVH3TRQUabQu_ym0Zz7PgGX0-kHA/edit?usp=sharing"",""แผน!G42"")"),0)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IFERROR(__xludf.DUMMYFUNCTION("IMPORTRANGE(""https://docs.google.com/spreadsheets/d/1QqKyyYR6Q21VydFLVH3TRQUabQu_ym0Zz7PgGX0-kHA/edit?usp=sharing"",""แผน!D42"")"),1)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IFERROR(__xludf.DUMMYFUNCTION("IMPORTRANGE(""https://docs.google.com/spreadsheets/d/1QqKyyYR6Q21VydFLVH3TRQUabQu_ym0Zz7PgGX0-kHA/edit?usp=sharing"",""แผน!E42"")"),40)</f>
        <v>40</v>
      </c>
      <c r="J83" s="992">
        <v>40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IFERROR(__xludf.DUMMYFUNCTION("IMPORTRANGE(""https://docs.google.com/spreadsheets/d/1QqKyyYR6Q21VydFLVH3TRQUabQu_ym0Zz7PgGX0-kHA/edit?usp=sharing"",""แผน!J42"")"),1)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45</v>
      </c>
      <c r="J86" s="962">
        <f t="shared" si="47"/>
        <v>45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15</v>
      </c>
      <c r="J87" s="962">
        <f t="shared" si="47"/>
        <v>15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269660</v>
      </c>
      <c r="M88" s="972">
        <f t="shared" ca="1" si="49"/>
        <v>218810</v>
      </c>
      <c r="N88" s="972">
        <f t="shared" ca="1" si="49"/>
        <v>139122.6</v>
      </c>
      <c r="O88" s="972">
        <f t="shared" ref="O88:O96" ca="1" si="50">IF(L88&gt;0,N88*100/L88,0)</f>
        <v>51.591856411777798</v>
      </c>
      <c r="P88" s="972">
        <f t="shared" ref="P88:P96" ca="1" si="51">IF(M88&gt;0,N88*100/M88,0)</f>
        <v>63.581463370047075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269660</v>
      </c>
      <c r="M90" s="870">
        <f t="shared" ca="1" si="52"/>
        <v>218810</v>
      </c>
      <c r="N90" s="870">
        <f t="shared" ca="1" si="52"/>
        <v>139122.6</v>
      </c>
      <c r="O90" s="870">
        <f t="shared" ca="1" si="50"/>
        <v>51.591856411777798</v>
      </c>
      <c r="P90" s="870">
        <f t="shared" ca="1" si="51"/>
        <v>63.581463370047075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269660</v>
      </c>
      <c r="M91" s="864">
        <f t="shared" ca="1" si="53"/>
        <v>218810</v>
      </c>
      <c r="N91" s="864">
        <f t="shared" ca="1" si="53"/>
        <v>139122.6</v>
      </c>
      <c r="O91" s="864">
        <f t="shared" ca="1" si="50"/>
        <v>51.591856411777798</v>
      </c>
      <c r="P91" s="864">
        <f t="shared" ca="1" si="51"/>
        <v>63.581463370047075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IFERROR(__xludf.DUMMYFUNCTION("IMPORTRANGE(""https://docs.google.com/spreadsheets/d/1MeEWN-I1oV_STSDYn1IFDPWt_1FKiwhDph83XaGc0o0/edit?usp=sharing"",""งบพรบ!AQ42"")"),269660)</f>
        <v>269660</v>
      </c>
      <c r="M93" s="870">
        <f ca="1">IFERROR(__xludf.DUMMYFUNCTION("IMPORTRANGE(""https://docs.google.com/spreadsheets/d/1MeEWN-I1oV_STSDYn1IFDPWt_1FKiwhDph83XaGc0o0/edit?usp=sharing"",""งบพรบ!AV42"")"),218810)</f>
        <v>218810</v>
      </c>
      <c r="N93" s="870">
        <f ca="1">IFERROR(__xludf.DUMMYFUNCTION("IMPORTRANGE(""https://docs.google.com/spreadsheets/d/1MeEWN-I1oV_STSDYn1IFDPWt_1FKiwhDph83XaGc0o0/edit?usp=sharing"",""งบพรบ!AX42"")"),139122.6)</f>
        <v>139122.6</v>
      </c>
      <c r="O93" s="870">
        <f t="shared" ca="1" si="50"/>
        <v>51.591856411777798</v>
      </c>
      <c r="P93" s="870">
        <f t="shared" ca="1" si="51"/>
        <v>63.581463370047075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IFERROR(__xludf.DUMMYFUNCTION("IMPORTRANGE(""https://docs.google.com/spreadsheets/d/1MeEWN-I1oV_STSDYn1IFDPWt_1FKiwhDph83XaGc0o0/edit?usp=sharing"",""งบพรบ!AT42"")"),0)</f>
        <v>0</v>
      </c>
      <c r="M96" s="870">
        <f ca="1">IFERROR(__xludf.DUMMYFUNCTION("IMPORTRANGE(""https://docs.google.com/spreadsheets/d/1MeEWN-I1oV_STSDYn1IFDPWt_1FKiwhDph83XaGc0o0/edit?usp=sharing"",""งบพรบ!AW42"")"),0)</f>
        <v>0</v>
      </c>
      <c r="N96" s="870">
        <f ca="1">IFERROR(__xludf.DUMMYFUNCTION("IMPORTRANGE(""https://docs.google.com/spreadsheets/d/1MeEWN-I1oV_STSDYn1IFDPWt_1FKiwhDph83XaGc0o0/edit?usp=sharing"",""งบพรบ!AY42"")"),0)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IFERROR(__xludf.DUMMYFUNCTION("IMPORTRANGE(""https://docs.google.com/spreadsheets/d/1QqKyyYR6Q21VydFLVH3TRQUabQu_ym0Zz7PgGX0-kHA/edit?usp=sharing"",""แผน!K42"")"),45)</f>
        <v>45</v>
      </c>
      <c r="J98" s="863">
        <f>J102</f>
        <v>45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IFERROR(__xludf.DUMMYFUNCTION("IMPORTRANGE(""https://docs.google.com/spreadsheets/d/1QqKyyYR6Q21VydFLVH3TRQUabQu_ym0Zz7PgGX0-kHA/edit?usp=sharing"",""แผน!L42"")"),15)</f>
        <v>15</v>
      </c>
      <c r="J99" s="863">
        <f>J104</f>
        <v>15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IFERROR(__xludf.DUMMYFUNCTION("IMPORTRANGE(""https://docs.google.com/spreadsheets/d/1QqKyyYR6Q21VydFLVH3TRQUabQu_ym0Zz7PgGX0-kHA/edit?usp=sharing"",""แผน!M42"")"),2)</f>
        <v>2</v>
      </c>
      <c r="J100" s="863">
        <f>J107+J110</f>
        <v>2</v>
      </c>
      <c r="K100" s="864">
        <f t="shared" ca="1" si="55"/>
        <v>100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IFERROR(__xludf.DUMMYFUNCTION("IMPORTRANGE(""https://docs.google.com/spreadsheets/d/1QqKyyYR6Q21VydFLVH3TRQUabQu_ym0Zz7PgGX0-kHA/edit?usp=sharing"",""แผน!N42"")"),45)</f>
        <v>45</v>
      </c>
      <c r="J102" s="992">
        <v>45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IFERROR(__xludf.DUMMYFUNCTION("IMPORTRANGE(""https://docs.google.com/spreadsheets/d/1QqKyyYR6Q21VydFLVH3TRQUabQu_ym0Zz7PgGX0-kHA/edit?usp=sharing"",""แผน!O42"")"),15)</f>
        <v>15</v>
      </c>
      <c r="J103" s="992">
        <v>15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IFERROR(__xludf.DUMMYFUNCTION("IMPORTRANGE(""https://docs.google.com/spreadsheets/d/1QqKyyYR6Q21VydFLVH3TRQUabQu_ym0Zz7PgGX0-kHA/edit?usp=sharing"",""แผน!O42"")"),15)</f>
        <v>15</v>
      </c>
      <c r="J104" s="992">
        <v>15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IFERROR(__xludf.DUMMYFUNCTION("IMPORTRANGE(""https://docs.google.com/spreadsheets/d/1QqKyyYR6Q21VydFLVH3TRQUabQu_ym0Zz7PgGX0-kHA/edit?usp=sharing"",""แผน!P42"")"),1)</f>
        <v>1</v>
      </c>
      <c r="J106" s="992">
        <v>1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IFERROR(__xludf.DUMMYFUNCTION("IMPORTRANGE(""https://docs.google.com/spreadsheets/d/1QqKyyYR6Q21VydFLVH3TRQUabQu_ym0Zz7PgGX0-kHA/edit?usp=sharing"",""แผน!P42"")"),1)</f>
        <v>1</v>
      </c>
      <c r="J107" s="992">
        <v>1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IFERROR(__xludf.DUMMYFUNCTION("IMPORTRANGE(""https://docs.google.com/spreadsheets/d/1QqKyyYR6Q21VydFLVH3TRQUabQu_ym0Zz7PgGX0-kHA/edit?usp=sharing"",""แผน!Q42"")"),1)</f>
        <v>1</v>
      </c>
      <c r="J109" s="992">
        <v>1</v>
      </c>
      <c r="K109" s="864">
        <f t="shared" ref="K109:K116" ca="1" si="58">IF(I109&gt;0,J109*100/I109,0)</f>
        <v>100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IFERROR(__xludf.DUMMYFUNCTION("IMPORTRANGE(""https://docs.google.com/spreadsheets/d/1QqKyyYR6Q21VydFLVH3TRQUabQu_ym0Zz7PgGX0-kHA/edit?usp=sharing"",""แผน!Q42"")"),1)</f>
        <v>1</v>
      </c>
      <c r="J110" s="992">
        <v>1</v>
      </c>
      <c r="K110" s="864">
        <f t="shared" ca="1" si="58"/>
        <v>100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IFERROR(__xludf.DUMMYFUNCTION("IMPORTRANGE(""https://docs.google.com/spreadsheets/d/1QqKyyYR6Q21VydFLVH3TRQUabQu_ym0Zz7PgGX0-kHA/edit?usp=sharing"",""แผน!R42"")"),15)</f>
        <v>15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IFERROR(__xludf.DUMMYFUNCTION("IMPORTRANGE(""https://docs.google.com/spreadsheets/d/1QqKyyYR6Q21VydFLVH3TRQUabQu_ym0Zz7PgGX0-kHA/edit?usp=sharing"",""แผน!R42"")"),15)</f>
        <v>15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IFERROR(__xludf.DUMMYFUNCTION("IMPORTRANGE(""https://docs.google.com/spreadsheets/d/1QqKyyYR6Q21VydFLVH3TRQUabQu_ym0Zz7PgGX0-kHA/edit?usp=sharing"",""แผน!R42"")"),15)</f>
        <v>15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IFERROR(__xludf.DUMMYFUNCTION("IMPORTRANGE(""https://docs.google.com/spreadsheets/d/1QqKyyYR6Q21VydFLVH3TRQUabQu_ym0Zz7PgGX0-kHA/edit?usp=sharing"",""แผน!S42"")"),1)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IFERROR(__xludf.DUMMYFUNCTION("IMPORTRANGE(""https://docs.google.com/spreadsheets/d/1QqKyyYR6Q21VydFLVH3TRQUabQu_ym0Zz7PgGX0-kHA/edit?usp=sharing"",""แผน!T42"")"),1)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IFERROR(__xludf.DUMMYFUNCTION("IMPORTRANGE(""https://docs.google.com/spreadsheets/d/1MeEWN-I1oV_STSDYn1IFDPWt_1FKiwhDph83XaGc0o0/edit?usp=sharing"",""งบพรบ!BA42"")"),0)</f>
        <v>0</v>
      </c>
      <c r="M124" s="870">
        <f ca="1">IFERROR(__xludf.DUMMYFUNCTION("IMPORTRANGE(""https://docs.google.com/spreadsheets/d/1MeEWN-I1oV_STSDYn1IFDPWt_1FKiwhDph83XaGc0o0/edit?usp=sharing"",""งบพรบ!BF42"")"),0)</f>
        <v>0</v>
      </c>
      <c r="N124" s="870">
        <f ca="1">IFERROR(__xludf.DUMMYFUNCTION("IMPORTRANGE(""https://docs.google.com/spreadsheets/d/1MeEWN-I1oV_STSDYn1IFDPWt_1FKiwhDph83XaGc0o0/edit?usp=sharing"",""งบพรบ!BH42"")"),0)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IFERROR(__xludf.DUMMYFUNCTION("IMPORTRANGE(""https://docs.google.com/spreadsheets/d/1MeEWN-I1oV_STSDYn1IFDPWt_1FKiwhDph83XaGc0o0/edit?usp=sharing"",""งบพรบ!BD42"")"),0)</f>
        <v>0</v>
      </c>
      <c r="M127" s="870">
        <f ca="1">IFERROR(__xludf.DUMMYFUNCTION("IMPORTRANGE(""https://docs.google.com/spreadsheets/d/1MeEWN-I1oV_STSDYn1IFDPWt_1FKiwhDph83XaGc0o0/edit?usp=sharing"",""งบพรบ!BG42"")"),0)</f>
        <v>0</v>
      </c>
      <c r="N127" s="870">
        <f ca="1">IFERROR(__xludf.DUMMYFUNCTION("IMPORTRANGE(""https://docs.google.com/spreadsheets/d/1MeEWN-I1oV_STSDYn1IFDPWt_1FKiwhDph83XaGc0o0/edit?usp=sharing"",""งบพรบ!BI42"")"),0)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IFERROR(__xludf.DUMMYFUNCTION("IMPORTRANGE(""https://docs.google.com/spreadsheets/d/1MeEWN-I1oV_STSDYn1IFDPWt_1FKiwhDph83XaGc0o0/edit?usp=sharing"",""งบพรบ!BK42"")"),0)</f>
        <v>0</v>
      </c>
      <c r="M137" s="870">
        <f ca="1">IFERROR(__xludf.DUMMYFUNCTION("IMPORTRANGE(""https://docs.google.com/spreadsheets/d/1MeEWN-I1oV_STSDYn1IFDPWt_1FKiwhDph83XaGc0o0/edit?usp=sharing"",""งบพรบ!BP42"")"),0)</f>
        <v>0</v>
      </c>
      <c r="N137" s="870">
        <f ca="1">IFERROR(__xludf.DUMMYFUNCTION("IMPORTRANGE(""https://docs.google.com/spreadsheets/d/1MeEWN-I1oV_STSDYn1IFDPWt_1FKiwhDph83XaGc0o0/edit?usp=sharing"",""งบพรบ!BR42"")"),0)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IFERROR(__xludf.DUMMYFUNCTION("IMPORTRANGE(""https://docs.google.com/spreadsheets/d/1MeEWN-I1oV_STSDYn1IFDPWt_1FKiwhDph83XaGc0o0/edit?usp=sharing"",""งบพรบ!BN42"")"),0)</f>
        <v>0</v>
      </c>
      <c r="M140" s="870">
        <f ca="1">IFERROR(__xludf.DUMMYFUNCTION("IMPORTRANGE(""https://docs.google.com/spreadsheets/d/1MeEWN-I1oV_STSDYn1IFDPWt_1FKiwhDph83XaGc0o0/edit?usp=sharing"",""งบพรบ!BQ42"")"),0)</f>
        <v>0</v>
      </c>
      <c r="N140" s="870">
        <f ca="1">IFERROR(__xludf.DUMMYFUNCTION("IMPORTRANGE(""https://docs.google.com/spreadsheets/d/1MeEWN-I1oV_STSDYn1IFDPWt_1FKiwhDph83XaGc0o0/edit?usp=sharing"",""งบพรบ!BS42"")"),0)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IFERROR(__xludf.DUMMYFUNCTION("IMPORTRANGE(""https://docs.google.com/spreadsheets/d/1QqKyyYR6Q21VydFLVH3TRQUabQu_ym0Zz7PgGX0-kHA/edit?usp=sharing"",""แผน!U42"")"),0)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IFERROR(__xludf.DUMMYFUNCTION("IMPORTRANGE(""https://docs.google.com/spreadsheets/d/1QqKyyYR6Q21VydFLVH3TRQUabQu_ym0Zz7PgGX0-kHA/edit?usp=sharing"",""แผน!V42"")"),0)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IFERROR(__xludf.DUMMYFUNCTION("IMPORTRANGE(""https://docs.google.com/spreadsheets/d/1QqKyyYR6Q21VydFLVH3TRQUabQu_ym0Zz7PgGX0-kHA/edit?usp=sharing"",""แผน!W42"")"),0)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10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5000</v>
      </c>
      <c r="M149" s="972">
        <f t="shared" ca="1" si="77"/>
        <v>12520</v>
      </c>
      <c r="N149" s="972">
        <f t="shared" ca="1" si="77"/>
        <v>7260</v>
      </c>
      <c r="O149" s="972">
        <f t="shared" ref="O149:O157" ca="1" si="78">IF(L149&gt;0,N149*100/L149,0)</f>
        <v>145.19999999999999</v>
      </c>
      <c r="P149" s="972">
        <f t="shared" ref="P149:P157" ca="1" si="79">IF(M149&gt;0,N149*100/M149,0)</f>
        <v>57.987220447284344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5000</v>
      </c>
      <c r="M151" s="870">
        <f t="shared" ca="1" si="80"/>
        <v>12520</v>
      </c>
      <c r="N151" s="870">
        <f t="shared" ca="1" si="80"/>
        <v>7260</v>
      </c>
      <c r="O151" s="870">
        <f t="shared" ca="1" si="78"/>
        <v>145.19999999999999</v>
      </c>
      <c r="P151" s="870">
        <f t="shared" ca="1" si="79"/>
        <v>57.987220447284344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5000</v>
      </c>
      <c r="M152" s="864">
        <f t="shared" ca="1" si="81"/>
        <v>12520</v>
      </c>
      <c r="N152" s="864">
        <f t="shared" ca="1" si="81"/>
        <v>7260</v>
      </c>
      <c r="O152" s="864">
        <f t="shared" ca="1" si="78"/>
        <v>145.19999999999999</v>
      </c>
      <c r="P152" s="864">
        <f t="shared" ca="1" si="79"/>
        <v>57.987220447284344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IFERROR(__xludf.DUMMYFUNCTION("IMPORTRANGE(""https://docs.google.com/spreadsheets/d/1MeEWN-I1oV_STSDYn1IFDPWt_1FKiwhDph83XaGc0o0/edit?usp=sharing"",""งบพรบ!BU42"")"),5000)</f>
        <v>5000</v>
      </c>
      <c r="M154" s="870">
        <f ca="1">IFERROR(__xludf.DUMMYFUNCTION("IMPORTRANGE(""https://docs.google.com/spreadsheets/d/1MeEWN-I1oV_STSDYn1IFDPWt_1FKiwhDph83XaGc0o0/edit?usp=sharing"",""งบพรบ!BZ42"")"),12520)</f>
        <v>12520</v>
      </c>
      <c r="N154" s="870">
        <f ca="1">IFERROR(__xludf.DUMMYFUNCTION("IMPORTRANGE(""https://docs.google.com/spreadsheets/d/1MeEWN-I1oV_STSDYn1IFDPWt_1FKiwhDph83XaGc0o0/edit?usp=sharing"",""งบพรบ!CB42"")"),7260)</f>
        <v>7260</v>
      </c>
      <c r="O154" s="870">
        <f t="shared" ca="1" si="78"/>
        <v>145.19999999999999</v>
      </c>
      <c r="P154" s="870">
        <f t="shared" ca="1" si="79"/>
        <v>57.987220447284344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IFERROR(__xludf.DUMMYFUNCTION("IMPORTRANGE(""https://docs.google.com/spreadsheets/d/1MeEWN-I1oV_STSDYn1IFDPWt_1FKiwhDph83XaGc0o0/edit?usp=sharing"",""งบพรบ!BX42"")"),0)</f>
        <v>0</v>
      </c>
      <c r="M157" s="870">
        <f ca="1">IFERROR(__xludf.DUMMYFUNCTION("IMPORTRANGE(""https://docs.google.com/spreadsheets/d/1MeEWN-I1oV_STSDYn1IFDPWt_1FKiwhDph83XaGc0o0/edit?usp=sharing"",""งบพรบ!CA42"")"),0)</f>
        <v>0</v>
      </c>
      <c r="N157" s="870">
        <f ca="1">IFERROR(__xludf.DUMMYFUNCTION("IMPORTRANGE(""https://docs.google.com/spreadsheets/d/1MeEWN-I1oV_STSDYn1IFDPWt_1FKiwhDph83XaGc0o0/edit?usp=sharing"",""งบพรบ!CC42"")"),0)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IFERROR(__xludf.DUMMYFUNCTION("IMPORTRANGE(""https://docs.google.com/spreadsheets/d/1QqKyyYR6Q21VydFLVH3TRQUabQu_ym0Zz7PgGX0-kHA/edit?usp=sharing"",""แผน!X42"")"),10)</f>
        <v>10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23060</v>
      </c>
      <c r="N165" s="972">
        <f t="shared" ca="1" si="84"/>
        <v>23060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23060</v>
      </c>
      <c r="N167" s="870">
        <f t="shared" ca="1" si="87"/>
        <v>23060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23060</v>
      </c>
      <c r="N168" s="864">
        <f t="shared" ca="1" si="88"/>
        <v>23060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IFERROR(__xludf.DUMMYFUNCTION("IMPORTRANGE(""https://docs.google.com/spreadsheets/d/1MeEWN-I1oV_STSDYn1IFDPWt_1FKiwhDph83XaGc0o0/edit?usp=sharing"",""งบพรบ!CE42"")"),23060)</f>
        <v>23060</v>
      </c>
      <c r="M170" s="870">
        <f ca="1">IFERROR(__xludf.DUMMYFUNCTION("IMPORTRANGE(""https://docs.google.com/spreadsheets/d/1MeEWN-I1oV_STSDYn1IFDPWt_1FKiwhDph83XaGc0o0/edit?usp=sharing"",""งบพรบ!CJ42"")"),23060)</f>
        <v>23060</v>
      </c>
      <c r="N170" s="870">
        <f ca="1">IFERROR(__xludf.DUMMYFUNCTION("IMPORTRANGE(""https://docs.google.com/spreadsheets/d/1MeEWN-I1oV_STSDYn1IFDPWt_1FKiwhDph83XaGc0o0/edit?usp=sharing"",""งบพรบ!CL42"")"),23060)</f>
        <v>23060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IFERROR(__xludf.DUMMYFUNCTION("IMPORTRANGE(""https://docs.google.com/spreadsheets/d/1MeEWN-I1oV_STSDYn1IFDPWt_1FKiwhDph83XaGc0o0/edit?usp=sharing"",""งบพรบ!CH42"")"),0)</f>
        <v>0</v>
      </c>
      <c r="M173" s="870">
        <f ca="1">IFERROR(__xludf.DUMMYFUNCTION("IMPORTRANGE(""https://docs.google.com/spreadsheets/d/1MeEWN-I1oV_STSDYn1IFDPWt_1FKiwhDph83XaGc0o0/edit?usp=sharing"",""งบพรบ!CK42"")"),0)</f>
        <v>0</v>
      </c>
      <c r="N173" s="870">
        <f ca="1">IFERROR(__xludf.DUMMYFUNCTION("IMPORTRANGE(""https://docs.google.com/spreadsheets/d/1MeEWN-I1oV_STSDYn1IFDPWt_1FKiwhDph83XaGc0o0/edit?usp=sharing"",""งบพรบ!CM42"")"),0)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IFERROR(__xludf.DUMMYFUNCTION("IMPORTRANGE(""https://docs.google.com/spreadsheets/d/1QqKyyYR6Q21VydFLVH3TRQUabQu_ym0Zz7PgGX0-kHA/edit?usp=sharing"",""แผน!Y42"")"),12)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67600</v>
      </c>
      <c r="M181" s="972">
        <f t="shared" ca="1" si="92"/>
        <v>48500</v>
      </c>
      <c r="N181" s="972">
        <f t="shared" ca="1" si="92"/>
        <v>28650</v>
      </c>
      <c r="O181" s="972">
        <f t="shared" ref="O181:O189" ca="1" si="93">IF(L181&gt;0,N181*100/L181,0)</f>
        <v>42.38165680473373</v>
      </c>
      <c r="P181" s="972">
        <f t="shared" ref="P181:P189" ca="1" si="94">IF(M181&gt;0,N181*100/M181,0)</f>
        <v>59.072164948453612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67600</v>
      </c>
      <c r="M183" s="870">
        <f t="shared" ca="1" si="95"/>
        <v>48500</v>
      </c>
      <c r="N183" s="870">
        <f t="shared" ca="1" si="95"/>
        <v>28650</v>
      </c>
      <c r="O183" s="870">
        <f t="shared" ca="1" si="93"/>
        <v>42.38165680473373</v>
      </c>
      <c r="P183" s="870">
        <f t="shared" ca="1" si="94"/>
        <v>59.072164948453612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67600</v>
      </c>
      <c r="M184" s="864">
        <f t="shared" ca="1" si="96"/>
        <v>48500</v>
      </c>
      <c r="N184" s="864">
        <f t="shared" ca="1" si="96"/>
        <v>28650</v>
      </c>
      <c r="O184" s="864">
        <f t="shared" ca="1" si="93"/>
        <v>42.38165680473373</v>
      </c>
      <c r="P184" s="864">
        <f t="shared" ca="1" si="94"/>
        <v>59.072164948453612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IFERROR(__xludf.DUMMYFUNCTION("IMPORTRANGE(""https://docs.google.com/spreadsheets/d/1MeEWN-I1oV_STSDYn1IFDPWt_1FKiwhDph83XaGc0o0/edit?usp=sharing"",""งบพรบ!CO42"")"),67600)</f>
        <v>67600</v>
      </c>
      <c r="M186" s="870">
        <f ca="1">IFERROR(__xludf.DUMMYFUNCTION("IMPORTRANGE(""https://docs.google.com/spreadsheets/d/1MeEWN-I1oV_STSDYn1IFDPWt_1FKiwhDph83XaGc0o0/edit?usp=sharing"",""งบพรบ!CT42"")"),48500)</f>
        <v>48500</v>
      </c>
      <c r="N186" s="870">
        <f ca="1">IFERROR(__xludf.DUMMYFUNCTION("IMPORTRANGE(""https://docs.google.com/spreadsheets/d/1MeEWN-I1oV_STSDYn1IFDPWt_1FKiwhDph83XaGc0o0/edit?usp=sharing"",""งบพรบ!CV42"")"),28650)</f>
        <v>28650</v>
      </c>
      <c r="O186" s="870">
        <f t="shared" ca="1" si="93"/>
        <v>42.38165680473373</v>
      </c>
      <c r="P186" s="870">
        <f t="shared" ca="1" si="94"/>
        <v>59.072164948453612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IFERROR(__xludf.DUMMYFUNCTION("IMPORTRANGE(""https://docs.google.com/spreadsheets/d/1MeEWN-I1oV_STSDYn1IFDPWt_1FKiwhDph83XaGc0o0/edit?usp=sharing"",""งบพรบ!CR42"")"),0)</f>
        <v>0</v>
      </c>
      <c r="M189" s="870">
        <f ca="1">IFERROR(__xludf.DUMMYFUNCTION("IMPORTRANGE(""https://docs.google.com/spreadsheets/d/1MeEWN-I1oV_STSDYn1IFDPWt_1FKiwhDph83XaGc0o0/edit?usp=sharing"",""งบพรบ!CU42"")"),0)</f>
        <v>0</v>
      </c>
      <c r="N189" s="870">
        <f ca="1">IFERROR(__xludf.DUMMYFUNCTION("IMPORTRANGE(""https://docs.google.com/spreadsheets/d/1MeEWN-I1oV_STSDYn1IFDPWt_1FKiwhDph83XaGc0o0/edit?usp=sharing"",""งบพรบ!CW42"")"),0)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IFERROR(__xludf.DUMMYFUNCTION("IMPORTRANGE(""https://docs.google.com/spreadsheets/d/1QqKyyYR6Q21VydFLVH3TRQUabQu_ym0Zz7PgGX0-kHA/edit?usp=sharing"",""แผน!Z42"")"),6000)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IFERROR(__xludf.DUMMYFUNCTION("IMPORTRANGE(""https://docs.google.com/spreadsheets/d/1QqKyyYR6Q21VydFLVH3TRQUabQu_ym0Zz7PgGX0-kHA/edit?usp=sharing"",""แผน!AC42"")"),4)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5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5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0</v>
      </c>
      <c r="O198" s="972">
        <f ca="1">IF(L198&gt;0,N198*100/L198,0)</f>
        <v>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IFERROR(__xludf.DUMMYFUNCTION("IMPORTRANGE(""https://docs.google.com/spreadsheets/d/1QqKyyYR6Q21VydFLVH3TRQUabQu_ym0Zz7PgGX0-kHA/edit?usp=sharing"",""แผน!AE42"")"),3000)</f>
        <v>3000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IFERROR(__xludf.DUMMYFUNCTION("IMPORTRANGE(""https://docs.google.com/spreadsheets/d/1QqKyyYR6Q21VydFLVH3TRQUabQu_ym0Zz7PgGX0-kHA/edit?usp=sharing"",""แผน!AF42"")"),24000)</f>
        <v>24000</v>
      </c>
      <c r="M200" s="864"/>
      <c r="N200" s="1064">
        <v>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IFERROR(__xludf.DUMMYFUNCTION("IMPORTRANGE(""https://docs.google.com/spreadsheets/d/1QqKyyYR6Q21VydFLVH3TRQUabQu_ym0Zz7PgGX0-kHA/edit?usp=sharing"",""แผน!AG42"")"),12000)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IFERROR(__xludf.DUMMYFUNCTION("IMPORTRANGE(""https://docs.google.com/spreadsheets/d/1QqKyyYR6Q21VydFLVH3TRQUabQu_ym0Zz7PgGX0-kHA/edit?usp=sharing"",""แผน!AH42"")"),0)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IFERROR(__xludf.DUMMYFUNCTION("IMPORTRANGE(""https://docs.google.com/spreadsheets/d/1QqKyyYR6Q21VydFLVH3TRQUabQu_ym0Zz7PgGX0-kHA/edit?usp=sharing"",""แผน!AI42"")"),3)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IFERROR(__xludf.DUMMYFUNCTION("IMPORTRANGE(""https://docs.google.com/spreadsheets/d/1QqKyyYR6Q21VydFLVH3TRQUabQu_ym0Zz7PgGX0-kHA/edit?usp=sharing"",""แผน!AK42"")"),0)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IFERROR(__xludf.DUMMYFUNCTION("IMPORTRANGE(""https://docs.google.com/spreadsheets/d/1QqKyyYR6Q21VydFLVH3TRQUabQu_ym0Zz7PgGX0-kHA/edit?usp=sharing"",""แผน!AL42"")"),0)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IFERROR(__xludf.DUMMYFUNCTION("IMPORTRANGE(""https://docs.google.com/spreadsheets/d/1QqKyyYR6Q21VydFLVH3TRQUabQu_ym0Zz7PgGX0-kHA/edit?usp=sharing"",""แผน!AM42"")"),0)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IFERROR(__xludf.DUMMYFUNCTION("IMPORTRANGE(""https://docs.google.com/spreadsheets/d/1QqKyyYR6Q21VydFLVH3TRQUabQu_ym0Zz7PgGX0-kHA/edit?usp=sharing"",""แผน!AN42"")"),0)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IFERROR(__xludf.DUMMYFUNCTION("IMPORTRANGE(""https://docs.google.com/spreadsheets/d/1QqKyyYR6Q21VydFLVH3TRQUabQu_ym0Zz7PgGX0-kHA/edit?usp=sharing"",""แผน!AN42"")"),0)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64000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22600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IFERROR(__xludf.DUMMYFUNCTION("IMPORTRANGE(""https://docs.google.com/spreadsheets/d/1QqKyyYR6Q21VydFLVH3TRQUabQu_ym0Zz7PgGX0-kHA/edit?usp=sharing"",""แผน!AP42"")"),5000)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IFERROR(__xludf.DUMMYFUNCTION("IMPORTRANGE(""https://docs.google.com/spreadsheets/d/1QqKyyYR6Q21VydFLVH3TRQUabQu_ym0Zz7PgGX0-kHA/edit?usp=sharing"",""แผน!AQ42"")"),17600)</f>
        <v>17600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IFERROR(__xludf.DUMMYFUNCTION("IMPORTRANGE(""https://docs.google.com/spreadsheets/d/1QqKyyYR6Q21VydFLVH3TRQUabQu_ym0Zz7PgGX0-kHA/edit?usp=sharing"",""แผน!AR42"")"),0)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IFERROR(__xludf.DUMMYFUNCTION("IMPORTRANGE(""https://docs.google.com/spreadsheets/d/1QqKyyYR6Q21VydFLVH3TRQUabQu_ym0Zz7PgGX0-kHA/edit?usp=sharing"",""แผน!AT42"")"),64000)</f>
        <v>64000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IFERROR(__xludf.DUMMYFUNCTION("IMPORTRANGE(""https://docs.google.com/spreadsheets/d/1QqKyyYR6Q21VydFLVH3TRQUabQu_ym0Zz7PgGX0-kHA/edit?usp=sharing"",""แผน!AT42"")"),64000)</f>
        <v>64000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IFERROR(__xludf.DUMMYFUNCTION("IMPORTRANGE(""https://docs.google.com/spreadsheets/d/1QqKyyYR6Q21VydFLVH3TRQUabQu_ym0Zz7PgGX0-kHA/edit?usp=sharing"",""แผน!AS42"")"),0)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IFERROR(__xludf.DUMMYFUNCTION("IMPORTRANGE(""https://docs.google.com/spreadsheets/d/1QqKyyYR6Q21VydFLVH3TRQUabQu_ym0Zz7PgGX0-kHA/edit?usp=sharing"",""แผน!AV42"")"),0)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IFERROR(__xludf.DUMMYFUNCTION("IMPORTRANGE(""https://docs.google.com/spreadsheets/d/1QqKyyYR6Q21VydFLVH3TRQUabQu_ym0Zz7PgGX0-kHA/edit?usp=sharing"",""แผน!AW42"")"),0)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IFERROR(__xludf.DUMMYFUNCTION("IMPORTRANGE(""https://docs.google.com/spreadsheets/d/1QqKyyYR6Q21VydFLVH3TRQUabQu_ym0Zz7PgGX0-kHA/edit?usp=sharing"",""แผน!AX42"")"),0)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IFERROR(__xludf.DUMMYFUNCTION("IMPORTRANGE(""https://docs.google.com/spreadsheets/d/1QqKyyYR6Q21VydFLVH3TRQUabQu_ym0Zz7PgGX0-kHA/edit?usp=sharing"",""แผน!AY42"")"),0)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IFERROR(__xludf.DUMMYFUNCTION("IMPORTRANGE(""https://docs.google.com/spreadsheets/d/1QqKyyYR6Q21VydFLVH3TRQUabQu_ym0Zz7PgGX0-kHA/edit?usp=sharing"",""แผน!BE42"")"),0)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IFERROR(__xludf.DUMMYFUNCTION("IMPORTRANGE(""https://docs.google.com/spreadsheets/d/1QqKyyYR6Q21VydFLVH3TRQUabQu_ym0Zz7PgGX0-kHA/edit?usp=sharing"",""แผน!AZ42"")"),0)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IFERROR(__xludf.DUMMYFUNCTION("IMPORTRANGE(""https://docs.google.com/spreadsheets/d/1QqKyyYR6Q21VydFLVH3TRQUabQu_ym0Zz7PgGX0-kHA/edit?usp=sharing"",""แผน!BA42"")"),0)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IFERROR(__xludf.DUMMYFUNCTION("IMPORTRANGE(""https://docs.google.com/spreadsheets/d/1QqKyyYR6Q21VydFLVH3TRQUabQu_ym0Zz7PgGX0-kHA/edit?usp=sharing"",""แผน!BB42"")"),0)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IFERROR(__xludf.DUMMYFUNCTION("IMPORTRANGE(""https://docs.google.com/spreadsheets/d/1QqKyyYR6Q21VydFLVH3TRQUabQu_ym0Zz7PgGX0-kHA/edit?usp=sharing"",""แผน!BC42"")"),0)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IFERROR(__xludf.DUMMYFUNCTION("IMPORTRANGE(""https://docs.google.com/spreadsheets/d/1QqKyyYR6Q21VydFLVH3TRQUabQu_ym0Zz7PgGX0-kHA/edit?usp=sharing"",""แผน!BF42"")"),0)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26</v>
      </c>
      <c r="J260" s="1041">
        <f t="shared" si="115"/>
        <v>26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30700</v>
      </c>
      <c r="M261" s="972">
        <f t="shared" ca="1" si="116"/>
        <v>27700</v>
      </c>
      <c r="N261" s="972">
        <f t="shared" ca="1" si="116"/>
        <v>26875</v>
      </c>
      <c r="O261" s="972">
        <f t="shared" ref="O261:O269" ca="1" si="117">IF(L261&gt;0,N261*100/L261,0)</f>
        <v>87.54071661237785</v>
      </c>
      <c r="P261" s="972">
        <f t="shared" ref="P261:P269" ca="1" si="118">IF(M261&gt;0,N261*100/M261,0)</f>
        <v>97.021660649819495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30700</v>
      </c>
      <c r="M263" s="870">
        <f t="shared" ca="1" si="119"/>
        <v>27700</v>
      </c>
      <c r="N263" s="870">
        <f t="shared" ca="1" si="119"/>
        <v>26875</v>
      </c>
      <c r="O263" s="870">
        <f t="shared" ca="1" si="117"/>
        <v>87.54071661237785</v>
      </c>
      <c r="P263" s="870">
        <f t="shared" ca="1" si="118"/>
        <v>97.021660649819495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30700</v>
      </c>
      <c r="M264" s="864">
        <f t="shared" ca="1" si="120"/>
        <v>27700</v>
      </c>
      <c r="N264" s="864">
        <f t="shared" ca="1" si="120"/>
        <v>26875</v>
      </c>
      <c r="O264" s="864">
        <f t="shared" ca="1" si="117"/>
        <v>87.54071661237785</v>
      </c>
      <c r="P264" s="864">
        <f t="shared" ca="1" si="118"/>
        <v>97.021660649819495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IFERROR(__xludf.DUMMYFUNCTION("IMPORTRANGE(""https://docs.google.com/spreadsheets/d/1MeEWN-I1oV_STSDYn1IFDPWt_1FKiwhDph83XaGc0o0/edit?usp=sharing"",""งบพรบ!CY42"")"),30700)</f>
        <v>30700</v>
      </c>
      <c r="M266" s="870">
        <f ca="1">IFERROR(__xludf.DUMMYFUNCTION("IMPORTRANGE(""https://docs.google.com/spreadsheets/d/1MeEWN-I1oV_STSDYn1IFDPWt_1FKiwhDph83XaGc0o0/edit?usp=sharing"",""งบพรบ!DD42"")"),27700)</f>
        <v>27700</v>
      </c>
      <c r="N266" s="870">
        <f ca="1">IFERROR(__xludf.DUMMYFUNCTION("IMPORTRANGE(""https://docs.google.com/spreadsheets/d/1MeEWN-I1oV_STSDYn1IFDPWt_1FKiwhDph83XaGc0o0/edit?usp=sharing"",""งบพรบ!DF42"")"),26875)</f>
        <v>26875</v>
      </c>
      <c r="O266" s="870">
        <f t="shared" ca="1" si="117"/>
        <v>87.54071661237785</v>
      </c>
      <c r="P266" s="870">
        <f t="shared" ca="1" si="118"/>
        <v>97.021660649819495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IFERROR(__xludf.DUMMYFUNCTION("IMPORTRANGE(""https://docs.google.com/spreadsheets/d/1MeEWN-I1oV_STSDYn1IFDPWt_1FKiwhDph83XaGc0o0/edit?usp=sharing"",""งบพรบ!DB42"")"),0)</f>
        <v>0</v>
      </c>
      <c r="M269" s="870">
        <f ca="1">IFERROR(__xludf.DUMMYFUNCTION("IMPORTRANGE(""https://docs.google.com/spreadsheets/d/1MeEWN-I1oV_STSDYn1IFDPWt_1FKiwhDph83XaGc0o0/edit?usp=sharing"",""งบพรบ!DE42"")"),0)</f>
        <v>0</v>
      </c>
      <c r="N269" s="870">
        <f ca="1">IFERROR(__xludf.DUMMYFUNCTION("IMPORTRANGE(""https://docs.google.com/spreadsheets/d/1MeEWN-I1oV_STSDYn1IFDPWt_1FKiwhDph83XaGc0o0/edit?usp=sharing"",""งบพรบ!DG42"")"),0)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IFERROR(__xludf.DUMMYFUNCTION("IMPORTRANGE(""https://docs.google.com/spreadsheets/d/1QqKyyYR6Q21VydFLVH3TRQUabQu_ym0Zz7PgGX0-kHA/edit?usp=sharing"",""แผน!EA42"")"),26)</f>
        <v>26</v>
      </c>
      <c r="J271" s="992">
        <v>26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40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400</v>
      </c>
      <c r="J276" s="1138">
        <f t="shared" si="124"/>
        <v>400</v>
      </c>
      <c r="K276" s="1139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147030</v>
      </c>
      <c r="M277" s="972">
        <f t="shared" ca="1" si="125"/>
        <v>147030</v>
      </c>
      <c r="N277" s="972">
        <f t="shared" ca="1" si="125"/>
        <v>136675</v>
      </c>
      <c r="O277" s="972">
        <f t="shared" ref="O277:O285" ca="1" si="126">IF(L277&gt;0,N277*100/L277,0)</f>
        <v>92.957219615044551</v>
      </c>
      <c r="P277" s="972">
        <f t="shared" ref="P277:P285" ca="1" si="127">IF(M277&gt;0,N277*100/M277,0)</f>
        <v>92.957219615044551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147030</v>
      </c>
      <c r="M279" s="870">
        <f t="shared" ca="1" si="128"/>
        <v>147030</v>
      </c>
      <c r="N279" s="870">
        <f t="shared" ca="1" si="128"/>
        <v>136675</v>
      </c>
      <c r="O279" s="870">
        <f t="shared" ca="1" si="126"/>
        <v>92.957219615044551</v>
      </c>
      <c r="P279" s="870">
        <f t="shared" ca="1" si="127"/>
        <v>92.957219615044551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147030</v>
      </c>
      <c r="M280" s="864">
        <f t="shared" ca="1" si="129"/>
        <v>147030</v>
      </c>
      <c r="N280" s="864">
        <f t="shared" ca="1" si="129"/>
        <v>136675</v>
      </c>
      <c r="O280" s="864">
        <f t="shared" ca="1" si="126"/>
        <v>92.957219615044551</v>
      </c>
      <c r="P280" s="864">
        <f t="shared" ca="1" si="127"/>
        <v>92.957219615044551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IFERROR(__xludf.DUMMYFUNCTION("IMPORTRANGE(""https://docs.google.com/spreadsheets/d/1MeEWN-I1oV_STSDYn1IFDPWt_1FKiwhDph83XaGc0o0/edit?usp=sharing"",""งบพรบ!DI42"")"),147030)</f>
        <v>147030</v>
      </c>
      <c r="M282" s="870">
        <f ca="1">IFERROR(__xludf.DUMMYFUNCTION("IMPORTRANGE(""https://docs.google.com/spreadsheets/d/1MeEWN-I1oV_STSDYn1IFDPWt_1FKiwhDph83XaGc0o0/edit?usp=sharing"",""งบพรบ!DN42"")"),147030)</f>
        <v>147030</v>
      </c>
      <c r="N282" s="870">
        <f ca="1">IFERROR(__xludf.DUMMYFUNCTION("IMPORTRANGE(""https://docs.google.com/spreadsheets/d/1MeEWN-I1oV_STSDYn1IFDPWt_1FKiwhDph83XaGc0o0/edit?usp=sharing"",""งบพรบ!DP42"")"),136675)</f>
        <v>136675</v>
      </c>
      <c r="O282" s="870">
        <f t="shared" ca="1" si="126"/>
        <v>92.957219615044551</v>
      </c>
      <c r="P282" s="870">
        <f t="shared" ca="1" si="127"/>
        <v>92.957219615044551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IFERROR(__xludf.DUMMYFUNCTION("IMPORTRANGE(""https://docs.google.com/spreadsheets/d/1MeEWN-I1oV_STSDYn1IFDPWt_1FKiwhDph83XaGc0o0/edit?usp=sharing"",""งบพรบ!DL42"")"),0)</f>
        <v>0</v>
      </c>
      <c r="M285" s="870">
        <f ca="1">IFERROR(__xludf.DUMMYFUNCTION("IMPORTRANGE(""https://docs.google.com/spreadsheets/d/1MeEWN-I1oV_STSDYn1IFDPWt_1FKiwhDph83XaGc0o0/edit?usp=sharing"",""งบพรบ!DO42"")"),0)</f>
        <v>0</v>
      </c>
      <c r="N285" s="870">
        <f ca="1">IFERROR(__xludf.DUMMYFUNCTION("IMPORTRANGE(""https://docs.google.com/spreadsheets/d/1MeEWN-I1oV_STSDYn1IFDPWt_1FKiwhDph83XaGc0o0/edit?usp=sharing"",""งบพรบ!DQ42"")"),0)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IFERROR(__xludf.DUMMYFUNCTION("IMPORTRANGE(""https://docs.google.com/spreadsheets/d/1QqKyyYR6Q21VydFLVH3TRQUabQu_ym0Zz7PgGX0-kHA/edit?usp=sharing"",""แผน!EC42"")"),400)</f>
        <v>400</v>
      </c>
      <c r="J287" s="992">
        <v>400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IFERROR(__xludf.DUMMYFUNCTION("IMPORTRANGE(""https://docs.google.com/spreadsheets/d/1QqKyyYR6Q21VydFLVH3TRQUabQu_ym0Zz7PgGX0-kHA/edit?usp=sharing"",""แผน!EB42"")"),40)</f>
        <v>40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IFERROR(__xludf.DUMMYFUNCTION("IMPORTRANGE(""https://docs.google.com/spreadsheets/d/1QqKyyYR6Q21VydFLVH3TRQUabQu_ym0Zz7PgGX0-kHA/edit?usp=sharing"",""แผน!EB42"")"),40)</f>
        <v>40</v>
      </c>
      <c r="J290" s="992">
        <v>40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IFERROR(__xludf.DUMMYFUNCTION("IMPORTRANGE(""https://docs.google.com/spreadsheets/d/1QqKyyYR6Q21VydFLVH3TRQUabQu_ym0Zz7PgGX0-kHA/edit?usp=sharing"",""แผน!EB42"")"),40)</f>
        <v>40</v>
      </c>
      <c r="J291" s="992">
        <v>40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IFERROR(__xludf.DUMMYFUNCTION("IMPORTRANGE(""https://docs.google.com/spreadsheets/d/1QqKyyYR6Q21VydFLVH3TRQUabQu_ym0Zz7PgGX0-kHA/edit?usp=sharing"",""แผน!EB42"")"),40)</f>
        <v>40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IFERROR(__xludf.DUMMYFUNCTION("IMPORTRANGE(""https://docs.google.com/spreadsheets/d/1QqKyyYR6Q21VydFLVH3TRQUabQu_ym0Zz7PgGX0-kHA/edit?usp=sharing"",""แผน!EB42"")"),40)</f>
        <v>40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41840</v>
      </c>
      <c r="O298" s="972">
        <f t="shared" ref="O298:O306" ca="1" si="136">IF(L298&gt;0,N298*100/L298,0)</f>
        <v>50.776699029126213</v>
      </c>
      <c r="P298" s="972">
        <f t="shared" ref="P298:P306" ca="1" si="137">IF(M298&gt;0,N298*100/M298,0)</f>
        <v>64.968944099378888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41840</v>
      </c>
      <c r="O300" s="870">
        <f t="shared" ca="1" si="136"/>
        <v>50.776699029126213</v>
      </c>
      <c r="P300" s="870">
        <f t="shared" ca="1" si="137"/>
        <v>64.968944099378888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41840</v>
      </c>
      <c r="O301" s="864">
        <f t="shared" ca="1" si="136"/>
        <v>50.776699029126213</v>
      </c>
      <c r="P301" s="864">
        <f t="shared" ca="1" si="137"/>
        <v>64.968944099378888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IFERROR(__xludf.DUMMYFUNCTION("IMPORTRANGE(""https://docs.google.com/spreadsheets/d/1MeEWN-I1oV_STSDYn1IFDPWt_1FKiwhDph83XaGc0o0/edit?usp=sharing"",""งบพรบ!DS42"")"),82400)</f>
        <v>82400</v>
      </c>
      <c r="M303" s="870">
        <f ca="1">IFERROR(__xludf.DUMMYFUNCTION("IMPORTRANGE(""https://docs.google.com/spreadsheets/d/1MeEWN-I1oV_STSDYn1IFDPWt_1FKiwhDph83XaGc0o0/edit?usp=sharing"",""งบพรบ!DX42"")"),64400)</f>
        <v>64400</v>
      </c>
      <c r="N303" s="870">
        <f ca="1">IFERROR(__xludf.DUMMYFUNCTION("IMPORTRANGE(""https://docs.google.com/spreadsheets/d/1MeEWN-I1oV_STSDYn1IFDPWt_1FKiwhDph83XaGc0o0/edit?usp=sharing"",""งบพรบ!DZ42"")"),41840)</f>
        <v>41840</v>
      </c>
      <c r="O303" s="870">
        <f t="shared" ca="1" si="136"/>
        <v>50.776699029126213</v>
      </c>
      <c r="P303" s="870">
        <f t="shared" ca="1" si="137"/>
        <v>64.968944099378888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IFERROR(__xludf.DUMMYFUNCTION("IMPORTRANGE(""https://docs.google.com/spreadsheets/d/1MeEWN-I1oV_STSDYn1IFDPWt_1FKiwhDph83XaGc0o0/edit?usp=sharing"",""งบพรบ!DV42"")"),0)</f>
        <v>0</v>
      </c>
      <c r="M306" s="870">
        <f ca="1">IFERROR(__xludf.DUMMYFUNCTION("IMPORTRANGE(""https://docs.google.com/spreadsheets/d/1MeEWN-I1oV_STSDYn1IFDPWt_1FKiwhDph83XaGc0o0/edit?usp=sharing"",""งบพรบ!DY42"")"),0)</f>
        <v>0</v>
      </c>
      <c r="N306" s="870">
        <f ca="1">IFERROR(__xludf.DUMMYFUNCTION("IMPORTRANGE(""https://docs.google.com/spreadsheets/d/1MeEWN-I1oV_STSDYn1IFDPWt_1FKiwhDph83XaGc0o0/edit?usp=sharing"",""งบพรบ!EA42"")"),0)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IFERROR(__xludf.DUMMYFUNCTION("IMPORTRANGE(""https://docs.google.com/spreadsheets/d/1QqKyyYR6Q21VydFLVH3TRQUabQu_ym0Zz7PgGX0-kHA/edit?usp=sharing"",""แผน!ED42"")"),20)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IFERROR(__xludf.DUMMYFUNCTION("IMPORTRANGE(""https://docs.google.com/spreadsheets/d/1QqKyyYR6Q21VydFLVH3TRQUabQu_ym0Zz7PgGX0-kHA/edit?usp=sharing"",""แผน!ED42"")"),20)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IFERROR(__xludf.DUMMYFUNCTION("IMPORTRANGE(""https://docs.google.com/spreadsheets/d/1QqKyyYR6Q21VydFLVH3TRQUabQu_ym0Zz7PgGX0-kHA/edit?usp=sharing"",""แผน!ED42"")"),20)</f>
        <v>20</v>
      </c>
      <c r="J311" s="992">
        <v>20</v>
      </c>
      <c r="K311" s="864">
        <f t="shared" ca="1" si="141"/>
        <v>100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IFERROR(__xludf.DUMMYFUNCTION("IMPORTRANGE(""https://docs.google.com/spreadsheets/d/1QqKyyYR6Q21VydFLVH3TRQUabQu_ym0Zz7PgGX0-kHA/edit?usp=sharing"",""แผน!EE42"")"),4)</f>
        <v>4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IFERROR(__xludf.DUMMYFUNCTION("IMPORTRANGE(""https://docs.google.com/spreadsheets/d/1MeEWN-I1oV_STSDYn1IFDPWt_1FKiwhDph83XaGc0o0/edit?usp=sharing"",""งบพรบ!EC42"")"),0)</f>
        <v>0</v>
      </c>
      <c r="M320" s="870">
        <f ca="1">IFERROR(__xludf.DUMMYFUNCTION("IMPORTRANGE(""https://docs.google.com/spreadsheets/d/1MeEWN-I1oV_STSDYn1IFDPWt_1FKiwhDph83XaGc0o0/edit?usp=sharing"",""งบพรบ!EH42"")"),0)</f>
        <v>0</v>
      </c>
      <c r="N320" s="870">
        <f ca="1">IFERROR(__xludf.DUMMYFUNCTION("IMPORTRANGE(""https://docs.google.com/spreadsheets/d/1MeEWN-I1oV_STSDYn1IFDPWt_1FKiwhDph83XaGc0o0/edit?usp=sharing"",""งบพรบ!EJ42"")"),0)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IFERROR(__xludf.DUMMYFUNCTION("IMPORTRANGE(""https://docs.google.com/spreadsheets/d/1MeEWN-I1oV_STSDYn1IFDPWt_1FKiwhDph83XaGc0o0/edit?usp=sharing"",""งบพรบ!EF42"")"),0)</f>
        <v>0</v>
      </c>
      <c r="M323" s="870">
        <f ca="1">IFERROR(__xludf.DUMMYFUNCTION("IMPORTRANGE(""https://docs.google.com/spreadsheets/d/1MeEWN-I1oV_STSDYn1IFDPWt_1FKiwhDph83XaGc0o0/edit?usp=sharing"",""งบพรบ!EI42"")"),0)</f>
        <v>0</v>
      </c>
      <c r="N323" s="870">
        <f ca="1">IFERROR(__xludf.DUMMYFUNCTION("IMPORTRANGE(""https://docs.google.com/spreadsheets/d/1MeEWN-I1oV_STSDYn1IFDPWt_1FKiwhDph83XaGc0o0/edit?usp=sharing"",""งบพรบ!EK42"")"),0)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IFERROR(__xludf.DUMMYFUNCTION("IMPORTRANGE(""https://docs.google.com/spreadsheets/d/1QqKyyYR6Q21VydFLVH3TRQUabQu_ym0Zz7PgGX0-kHA/edit?usp=sharing"",""แผน!EF42"")"),0)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IFERROR(__xludf.DUMMYFUNCTION("IMPORTRANGE(""https://docs.google.com/spreadsheets/d/1QqKyyYR6Q21VydFLVH3TRQUabQu_ym0Zz7PgGX0-kHA/edit?usp=sharing"",""แผน!EG42"")"),5600)</f>
        <v>5600</v>
      </c>
      <c r="J327" s="1170">
        <f ca="1">J338+J341+J342+J343</f>
        <v>4522</v>
      </c>
      <c r="K327" s="1171">
        <f ca="1">IF(I327&gt;0,J327*100/I327,0)</f>
        <v>80.75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271600</v>
      </c>
      <c r="M328" s="972">
        <f t="shared" ca="1" si="149"/>
        <v>206200</v>
      </c>
      <c r="N328" s="972">
        <f t="shared" ca="1" si="149"/>
        <v>122341</v>
      </c>
      <c r="O328" s="972">
        <f t="shared" ref="O328:O336" ca="1" si="150">IF(L328&gt;0,N328*100/L328,0)</f>
        <v>45.044550810014726</v>
      </c>
      <c r="P328" s="972">
        <f t="shared" ref="P328:P336" ca="1" si="151">IF(M328&gt;0,N328*100/M328,0)</f>
        <v>59.331231813773037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271600</v>
      </c>
      <c r="M330" s="870">
        <f t="shared" ca="1" si="152"/>
        <v>206200</v>
      </c>
      <c r="N330" s="870">
        <f t="shared" ca="1" si="152"/>
        <v>122341</v>
      </c>
      <c r="O330" s="870">
        <f t="shared" ca="1" si="150"/>
        <v>45.044550810014726</v>
      </c>
      <c r="P330" s="870">
        <f t="shared" ca="1" si="151"/>
        <v>59.331231813773037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271600</v>
      </c>
      <c r="M331" s="864">
        <f t="shared" ca="1" si="153"/>
        <v>206200</v>
      </c>
      <c r="N331" s="864">
        <f t="shared" ca="1" si="153"/>
        <v>122341</v>
      </c>
      <c r="O331" s="864">
        <f t="shared" ca="1" si="150"/>
        <v>45.044550810014726</v>
      </c>
      <c r="P331" s="864">
        <f t="shared" ca="1" si="151"/>
        <v>59.331231813773037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IFERROR(__xludf.DUMMYFUNCTION("IMPORTRANGE(""https://docs.google.com/spreadsheets/d/1MeEWN-I1oV_STSDYn1IFDPWt_1FKiwhDph83XaGc0o0/edit?usp=sharing"",""งบพรบ!EM42"")"),271600)</f>
        <v>271600</v>
      </c>
      <c r="M333" s="870">
        <f ca="1">IFERROR(__xludf.DUMMYFUNCTION("IMPORTRANGE(""https://docs.google.com/spreadsheets/d/1MeEWN-I1oV_STSDYn1IFDPWt_1FKiwhDph83XaGc0o0/edit?usp=sharing"",""งบพรบ!ER42"")"),206200)</f>
        <v>206200</v>
      </c>
      <c r="N333" s="870">
        <f ca="1">IFERROR(__xludf.DUMMYFUNCTION("IMPORTRANGE(""https://docs.google.com/spreadsheets/d/1MeEWN-I1oV_STSDYn1IFDPWt_1FKiwhDph83XaGc0o0/edit?usp=sharing"",""งบพรบ!ET42"")"),122341)</f>
        <v>122341</v>
      </c>
      <c r="O333" s="870">
        <f t="shared" ca="1" si="150"/>
        <v>45.044550810014726</v>
      </c>
      <c r="P333" s="870">
        <f t="shared" ca="1" si="151"/>
        <v>59.331231813773037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IFERROR(__xludf.DUMMYFUNCTION("IMPORTRANGE(""https://docs.google.com/spreadsheets/d/1MeEWN-I1oV_STSDYn1IFDPWt_1FKiwhDph83XaGc0o0/edit?usp=sharing"",""งบพรบ!EP42"")"),0)</f>
        <v>0</v>
      </c>
      <c r="M336" s="870">
        <f ca="1">IFERROR(__xludf.DUMMYFUNCTION("IMPORTRANGE(""https://docs.google.com/spreadsheets/d/1MeEWN-I1oV_STSDYn1IFDPWt_1FKiwhDph83XaGc0o0/edit?usp=sharing"",""งบพรบ!ES42"")"),0)</f>
        <v>0</v>
      </c>
      <c r="N336" s="870">
        <f ca="1">IFERROR(__xludf.DUMMYFUNCTION("IMPORTRANGE(""https://docs.google.com/spreadsheets/d/1MeEWN-I1oV_STSDYn1IFDPWt_1FKiwhDph83XaGc0o0/edit?usp=sharing"",""งบพรบ!EU42"")"),0)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IFERROR(__xludf.DUMMYFUNCTION("IMPORTRANGE(""https://docs.google.com/spreadsheets/d/1QqKyyYR6Q21VydFLVH3TRQUabQu_ym0Zz7PgGX0-kHA/edit?usp=sharing"",""แผน!EG42"")"),5600)</f>
        <v>5600</v>
      </c>
      <c r="J338" s="863">
        <f ca="1">IFERROR(__xludf.DUMMYFUNCTION("IMPORTRANGE(""https://docs.google.com/spreadsheets/d/1kVcqe37tkHyjCSG3S0O1AXqVkqjo8mSIZil3BcpIysc/edit?usp=sharing"",""ศูนย์!D42"")"),4466)</f>
        <v>4466</v>
      </c>
      <c r="K338" s="864">
        <f ca="1">IF(I338&gt;0,J338*100/I338,0)</f>
        <v>79.75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IFERROR(__xludf.DUMMYFUNCTION("IMPORTRANGE(""https://docs.google.com/spreadsheets/d/1QqKyyYR6Q21VydFLVH3TRQUabQu_ym0Zz7PgGX0-kHA/edit?usp=sharing"",""แผน!EH42"")"),8)</f>
        <v>8</v>
      </c>
      <c r="J340" s="863">
        <f ca="1">IFERROR(__xludf.DUMMYFUNCTION("IMPORTRANGE(""https://docs.google.com/spreadsheets/d/1kVcqe37tkHyjCSG3S0O1AXqVkqjo8mSIZil3BcpIysc/edit?usp=sharing"",""ศูนย์!E42"")"),4)</f>
        <v>4</v>
      </c>
      <c r="K340" s="864">
        <f ca="1">IF(I340&gt;0,J340*100/I340,0)</f>
        <v>50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IFERROR(__xludf.DUMMYFUNCTION("IMPORTRANGE(""https://docs.google.com/spreadsheets/d/1kVcqe37tkHyjCSG3S0O1AXqVkqjo8mSIZil3BcpIysc/edit?usp=sharing"",""ศูนย์!F42"")"),56)</f>
        <v>56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IFERROR(__xludf.DUMMYFUNCTION("IMPORTRANGE(""https://docs.google.com/spreadsheets/d/1kVcqe37tkHyjCSG3S0O1AXqVkqjo8mSIZil3BcpIysc/edit?usp=sharing"",""ศูนย์!G42"")"),0)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IFERROR(__xludf.DUMMYFUNCTION("IMPORTRANGE(""https://docs.google.com/spreadsheets/d/1kVcqe37tkHyjCSG3S0O1AXqVkqjo8mSIZil3BcpIysc/edit?usp=sharing"",""ศูนย์!H42"")"),0)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1261590</v>
      </c>
      <c r="M345" s="972">
        <f t="shared" ca="1" si="155"/>
        <v>1106430</v>
      </c>
      <c r="N345" s="972">
        <f t="shared" ca="1" si="155"/>
        <v>799581.56</v>
      </c>
      <c r="O345" s="972">
        <f t="shared" ref="O345:O353" ca="1" si="156">IF(L345&gt;0,N345*100/L345,0)</f>
        <v>63.378875862998278</v>
      </c>
      <c r="P345" s="972">
        <f t="shared" ref="P345:P353" ca="1" si="157">IF(M345&gt;0,N345*100/M345,0)</f>
        <v>72.266800430212484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1261590</v>
      </c>
      <c r="M347" s="870">
        <f t="shared" ca="1" si="158"/>
        <v>1106430</v>
      </c>
      <c r="N347" s="870">
        <f t="shared" ca="1" si="158"/>
        <v>799581.56</v>
      </c>
      <c r="O347" s="870">
        <f t="shared" ca="1" si="156"/>
        <v>63.378875862998278</v>
      </c>
      <c r="P347" s="870">
        <f t="shared" ca="1" si="157"/>
        <v>72.266800430212484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1044090</v>
      </c>
      <c r="M348" s="864">
        <f t="shared" ca="1" si="159"/>
        <v>888930</v>
      </c>
      <c r="N348" s="864">
        <f t="shared" ca="1" si="159"/>
        <v>582081.56000000006</v>
      </c>
      <c r="O348" s="864">
        <f t="shared" ca="1" si="156"/>
        <v>55.750132651399788</v>
      </c>
      <c r="P348" s="864">
        <f t="shared" ca="1" si="157"/>
        <v>65.481146996951395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IFERROR(__xludf.DUMMYFUNCTION("IMPORTRANGE(""https://docs.google.com/spreadsheets/d/1MeEWN-I1oV_STSDYn1IFDPWt_1FKiwhDph83XaGc0o0/edit?usp=sharing"",""งบพรบ!EW42"")"),1044090)</f>
        <v>1044090</v>
      </c>
      <c r="M350" s="870">
        <f ca="1">IFERROR(__xludf.DUMMYFUNCTION("IMPORTRANGE(""https://docs.google.com/spreadsheets/d/1MeEWN-I1oV_STSDYn1IFDPWt_1FKiwhDph83XaGc0o0/edit?usp=sharing"",""งบพรบ!FB42"")"),888930)</f>
        <v>888930</v>
      </c>
      <c r="N350" s="870">
        <f ca="1">IFERROR(__xludf.DUMMYFUNCTION("IMPORTRANGE(""https://docs.google.com/spreadsheets/d/1MeEWN-I1oV_STSDYn1IFDPWt_1FKiwhDph83XaGc0o0/edit?usp=sharing"",""งบพรบ!FD42"")"),582081.56)</f>
        <v>582081.56000000006</v>
      </c>
      <c r="O350" s="870">
        <f t="shared" ca="1" si="156"/>
        <v>55.750132651399788</v>
      </c>
      <c r="P350" s="870">
        <f t="shared" ca="1" si="157"/>
        <v>65.481146996951395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217500</v>
      </c>
      <c r="M351" s="864">
        <f t="shared" ca="1" si="160"/>
        <v>217500</v>
      </c>
      <c r="N351" s="864">
        <f t="shared" ca="1" si="160"/>
        <v>217500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IFERROR(__xludf.DUMMYFUNCTION("IMPORTRANGE(""https://docs.google.com/spreadsheets/d/1MeEWN-I1oV_STSDYn1IFDPWt_1FKiwhDph83XaGc0o0/edit?usp=sharing"",""งบพรบ!EZ42"")"),217500)</f>
        <v>217500</v>
      </c>
      <c r="M353" s="870">
        <f ca="1">IFERROR(__xludf.DUMMYFUNCTION("IMPORTRANGE(""https://docs.google.com/spreadsheets/d/1MeEWN-I1oV_STSDYn1IFDPWt_1FKiwhDph83XaGc0o0/edit?usp=sharing"",""งบพรบ!FC42"")"),217500)</f>
        <v>217500</v>
      </c>
      <c r="N353" s="870">
        <f ca="1">IFERROR(__xludf.DUMMYFUNCTION("IMPORTRANGE(""https://docs.google.com/spreadsheets/d/1MeEWN-I1oV_STSDYn1IFDPWt_1FKiwhDph83XaGc0o0/edit?usp=sharing"",""งบพรบ!FE42"")"),217500)</f>
        <v>217500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IFERROR(__xludf.DUMMYFUNCTION("IMPORTRANGE(""https://docs.google.com/spreadsheets/d/1QqKyyYR6Q21VydFLVH3TRQUabQu_ym0Zz7PgGX0-kHA/edit?usp=sharing"",""แผน!EP42"")"),670)</f>
        <v>670</v>
      </c>
      <c r="J355" s="1186">
        <f ca="1">J362</f>
        <v>171</v>
      </c>
      <c r="K355" s="1187">
        <f ca="1">IF(I355&gt;0,J355*100/I355,0)</f>
        <v>25.522388059701491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IFERROR(__xludf.DUMMYFUNCTION("IMPORTRANGE(""https://docs.google.com/spreadsheets/d/1XWAQStnk-4SwqDmLtmXYiTMKHgktTP8We1SCoS47DrQ/edit?usp=sharing"",""จัดที่ดิน!W42"")"),229)</f>
        <v>229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IFERROR(__xludf.DUMMYFUNCTION("IMPORTRANGE(""https://docs.google.com/spreadsheets/d/1QqKyyYR6Q21VydFLVH3TRQUabQu_ym0Zz7PgGX0-kHA/edit?usp=sharing"",""แผน!EO42"")"),6700)</f>
        <v>6700</v>
      </c>
      <c r="J359" s="863">
        <f ca="1">IFERROR(__xludf.DUMMYFUNCTION("IMPORTRANGE(""https://docs.google.com/spreadsheets/d/1XWAQStnk-4SwqDmLtmXYiTMKHgktTP8We1SCoS47DrQ/edit?usp=sharing"",""จัดที่ดิน!X42"")"),1679.09)</f>
        <v>1679.09</v>
      </c>
      <c r="K359" s="864">
        <f t="shared" ca="1" si="161"/>
        <v>25.061044776119402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IFERROR(__xludf.DUMMYFUNCTION("IMPORTRANGE(""https://docs.google.com/spreadsheets/d/1QqKyyYR6Q21VydFLVH3TRQUabQu_ym0Zz7PgGX0-kHA/edit?usp=sharing"",""แผน!EP42"")"),670)</f>
        <v>670</v>
      </c>
      <c r="J360" s="863">
        <f ca="1">IFERROR(__xludf.DUMMYFUNCTION("IMPORTRANGE(""https://docs.google.com/spreadsheets/d/1XWAQStnk-4SwqDmLtmXYiTMKHgktTP8We1SCoS47DrQ/edit?usp=sharing"",""จัดที่ดิน!Y42"")"),234)</f>
        <v>234</v>
      </c>
      <c r="K360" s="864">
        <f t="shared" ca="1" si="161"/>
        <v>34.92537313432836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IFERROR(__xludf.DUMMYFUNCTION("IMPORTRANGE(""https://docs.google.com/spreadsheets/d/1XWAQStnk-4SwqDmLtmXYiTMKHgktTP8We1SCoS47DrQ/edit?usp=sharing"",""จัดที่ดิน!Z42"")"),1711.94)</f>
        <v>1711.94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IFERROR(__xludf.DUMMYFUNCTION("IMPORTRANGE(""https://docs.google.com/spreadsheets/d/1QqKyyYR6Q21VydFLVH3TRQUabQu_ym0Zz7PgGX0-kHA/edit?usp=sharing"",""แผน!EP42"")"),670)</f>
        <v>670</v>
      </c>
      <c r="J362" s="863">
        <f ca="1">IFERROR(__xludf.DUMMYFUNCTION("IMPORTRANGE(""https://docs.google.com/spreadsheets/d/1XWAQStnk-4SwqDmLtmXYiTMKHgktTP8We1SCoS47DrQ/edit?usp=sharing"",""จัดที่ดิน!AA42"")"),171)</f>
        <v>171</v>
      </c>
      <c r="K362" s="864">
        <f t="shared" ca="1" si="161"/>
        <v>25.522388059701491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IFERROR(__xludf.DUMMYFUNCTION("IMPORTRANGE(""https://docs.google.com/spreadsheets/d/1XWAQStnk-4SwqDmLtmXYiTMKHgktTP8We1SCoS47DrQ/edit?usp=sharing"",""จัดที่ดิน!AB42"")"),1330.7)</f>
        <v>1330.7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1120</v>
      </c>
      <c r="J364" s="1199">
        <f t="shared" ca="1" si="162"/>
        <v>548</v>
      </c>
      <c r="K364" s="1200">
        <f t="shared" ca="1" si="161"/>
        <v>48.928571428571431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IFERROR(__xludf.DUMMYFUNCTION("IMPORTRANGE(""https://docs.google.com/spreadsheets/d/1QqKyyYR6Q21VydFLVH3TRQUabQu_ym0Zz7PgGX0-kHA/edit?usp=sharing"",""แผน!EJ42"")"),120)</f>
        <v>120</v>
      </c>
      <c r="J365" s="1207">
        <f ca="1">J372</f>
        <v>24</v>
      </c>
      <c r="K365" s="1208">
        <f t="shared" ca="1" si="161"/>
        <v>20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IFERROR(__xludf.DUMMYFUNCTION("IMPORTRANGE(""https://docs.google.com/spreadsheets/d/1XWAQStnk-4SwqDmLtmXYiTMKHgktTP8We1SCoS47DrQ/edit?usp=sharing"",""จัดที่ดิน!E42"")"),59)</f>
        <v>59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IFERROR(__xludf.DUMMYFUNCTION("IMPORTRANGE(""https://docs.google.com/spreadsheets/d/1QqKyyYR6Q21VydFLVH3TRQUabQu_ym0Zz7PgGX0-kHA/edit?usp=sharing"",""แผน!EI42"")"),1200)</f>
        <v>1200</v>
      </c>
      <c r="J369" s="863">
        <f ca="1">IFERROR(__xludf.DUMMYFUNCTION("IMPORTRANGE(""https://docs.google.com/spreadsheets/d/1XWAQStnk-4SwqDmLtmXYiTMKHgktTP8We1SCoS47DrQ/edit?usp=sharing"",""จัดที่ดิน!F42"")"),398.08)</f>
        <v>398.08</v>
      </c>
      <c r="K369" s="864">
        <f t="shared" ca="1" si="163"/>
        <v>33.173333333333332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IFERROR(__xludf.DUMMYFUNCTION("IMPORTRANGE(""https://docs.google.com/spreadsheets/d/1QqKyyYR6Q21VydFLVH3TRQUabQu_ym0Zz7PgGX0-kHA/edit?usp=sharing"",""แผน!EJ42"")"),120)</f>
        <v>120</v>
      </c>
      <c r="J370" s="863">
        <f ca="1">IFERROR(__xludf.DUMMYFUNCTION("IMPORTRANGE(""https://docs.google.com/spreadsheets/d/1XWAQStnk-4SwqDmLtmXYiTMKHgktTP8We1SCoS47DrQ/edit?usp=sharing"",""จัดที่ดิน!G42"")"),64)</f>
        <v>64</v>
      </c>
      <c r="K370" s="864">
        <f t="shared" ca="1" si="163"/>
        <v>53.333333333333336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IFERROR(__xludf.DUMMYFUNCTION("IMPORTRANGE(""https://docs.google.com/spreadsheets/d/1XWAQStnk-4SwqDmLtmXYiTMKHgktTP8We1SCoS47DrQ/edit?usp=sharing"",""จัดที่ดิน!H42"")"),430.93)</f>
        <v>430.93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IFERROR(__xludf.DUMMYFUNCTION("IMPORTRANGE(""https://docs.google.com/spreadsheets/d/1QqKyyYR6Q21VydFLVH3TRQUabQu_ym0Zz7PgGX0-kHA/edit?usp=sharing"",""แผน!EJ42"")"),120)</f>
        <v>120</v>
      </c>
      <c r="J372" s="863">
        <f ca="1">IFERROR(__xludf.DUMMYFUNCTION("IMPORTRANGE(""https://docs.google.com/spreadsheets/d/1XWAQStnk-4SwqDmLtmXYiTMKHgktTP8We1SCoS47DrQ/edit?usp=sharing"",""จัดที่ดิน!I42"")"),24)</f>
        <v>24</v>
      </c>
      <c r="K372" s="864">
        <f t="shared" ca="1" si="163"/>
        <v>20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IFERROR(__xludf.DUMMYFUNCTION("IMPORTRANGE(""https://docs.google.com/spreadsheets/d/1XWAQStnk-4SwqDmLtmXYiTMKHgktTP8We1SCoS47DrQ/edit?usp=sharing"",""จัดที่ดิน!J42"")"),216.26)</f>
        <v>216.26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IFERROR(__xludf.DUMMYFUNCTION("IMPORTRANGE(""https://docs.google.com/spreadsheets/d/1QqKyyYR6Q21VydFLVH3TRQUabQu_ym0Zz7PgGX0-kHA/edit?usp=sharing"",""แผน!EU42"")"),1000)</f>
        <v>1000</v>
      </c>
      <c r="J374" s="1207">
        <f ca="1">J381</f>
        <v>524</v>
      </c>
      <c r="K374" s="1208">
        <f t="shared" ca="1" si="163"/>
        <v>52.4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IFERROR(__xludf.DUMMYFUNCTION("IMPORTRANGE(""https://docs.google.com/spreadsheets/d/1XWAQStnk-4SwqDmLtmXYiTMKHgktTP8We1SCoS47DrQ/edit?usp=sharing"",""จัดที่ดิน!AH42"")"),170)</f>
        <v>170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IFERROR(__xludf.DUMMYFUNCTION("IMPORTRANGE(""https://docs.google.com/spreadsheets/d/1QqKyyYR6Q21VydFLVH3TRQUabQu_ym0Zz7PgGX0-kHA/edit?usp=sharing"",""แผน!ET42"")"),5500)</f>
        <v>5500</v>
      </c>
      <c r="J378" s="863">
        <f ca="1">IFERROR(__xludf.DUMMYFUNCTION("IMPORTRANGE(""https://docs.google.com/spreadsheets/d/1XWAQStnk-4SwqDmLtmXYiTMKHgktTP8We1SCoS47DrQ/edit?usp=sharing"",""จัดที่ดิน!AI42"")"),1281.01)</f>
        <v>1281.01</v>
      </c>
      <c r="K378" s="864">
        <f t="shared" ca="1" si="164"/>
        <v>23.291090909090908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IFERROR(__xludf.DUMMYFUNCTION("IMPORTRANGE(""https://docs.google.com/spreadsheets/d/1QqKyyYR6Q21VydFLVH3TRQUabQu_ym0Zz7PgGX0-kHA/edit?usp=sharing"",""แผน!EU42"")"),1000)</f>
        <v>1000</v>
      </c>
      <c r="J379" s="863">
        <f ca="1">IFERROR(__xludf.DUMMYFUNCTION("IMPORTRANGE(""https://docs.google.com/spreadsheets/d/1XWAQStnk-4SwqDmLtmXYiTMKHgktTP8We1SCoS47DrQ/edit?usp=sharing"",""จัดที่ดิน!AJ42"")"),646)</f>
        <v>646</v>
      </c>
      <c r="K379" s="864">
        <f t="shared" ca="1" si="164"/>
        <v>64.599999999999994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IFERROR(__xludf.DUMMYFUNCTION("IMPORTRANGE(""https://docs.google.com/spreadsheets/d/1XWAQStnk-4SwqDmLtmXYiTMKHgktTP8We1SCoS47DrQ/edit?usp=sharing"",""จัดที่ดิน!AK42"")"),6460.58)</f>
        <v>6460.58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IFERROR(__xludf.DUMMYFUNCTION("IMPORTRANGE(""https://docs.google.com/spreadsheets/d/1QqKyyYR6Q21VydFLVH3TRQUabQu_ym0Zz7PgGX0-kHA/edit?usp=sharing"",""แผน!EU42"")"),1000)</f>
        <v>1000</v>
      </c>
      <c r="J381" s="863">
        <f ca="1">IFERROR(__xludf.DUMMYFUNCTION("IMPORTRANGE(""https://docs.google.com/spreadsheets/d/1XWAQStnk-4SwqDmLtmXYiTMKHgktTP8We1SCoS47DrQ/edit?usp=sharing"",""จัดที่ดิน!AL42"")"),524)</f>
        <v>524</v>
      </c>
      <c r="K381" s="864">
        <f t="shared" ca="1" si="164"/>
        <v>52.4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IFERROR(__xludf.DUMMYFUNCTION("IMPORTRANGE(""https://docs.google.com/spreadsheets/d/1XWAQStnk-4SwqDmLtmXYiTMKHgktTP8We1SCoS47DrQ/edit?usp=sharing"",""จัดที่ดิน!AM42"")"),5233.87)</f>
        <v>5233.87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IFERROR(__xludf.DUMMYFUNCTION("IMPORTRANGE(""https://docs.google.com/spreadsheets/d/1QqKyyYR6Q21VydFLVH3TRQUabQu_ym0Zz7PgGX0-kHA/edit?usp=sharing"",""แผน!EW42"")"),100)</f>
        <v>100</v>
      </c>
      <c r="J385" s="1117">
        <f ca="1">IFERROR(__xludf.DUMMYFUNCTION("IMPORTRANGE(""https://docs.google.com/spreadsheets/d/1XWAQStnk-4SwqDmLtmXYiTMKHgktTP8We1SCoS47DrQ/edit?usp=sharing"",""จัดที่ดิน!AP42"")"),0)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IFERROR(__xludf.DUMMYFUNCTION("IMPORTRANGE(""https://docs.google.com/spreadsheets/d/1MeEWN-I1oV_STSDYn1IFDPWt_1FKiwhDph83XaGc0o0/edit?usp=sharing"",""งบพรบ!FG42"")"),0)</f>
        <v>0</v>
      </c>
      <c r="M394" s="870">
        <f ca="1">IFERROR(__xludf.DUMMYFUNCTION("IMPORTRANGE(""https://docs.google.com/spreadsheets/d/1MeEWN-I1oV_STSDYn1IFDPWt_1FKiwhDph83XaGc0o0/edit?usp=sharing"",""งบพรบ!FL42"")"),0)</f>
        <v>0</v>
      </c>
      <c r="N394" s="870">
        <f ca="1">IFERROR(__xludf.DUMMYFUNCTION("IMPORTRANGE(""https://docs.google.com/spreadsheets/d/1MeEWN-I1oV_STSDYn1IFDPWt_1FKiwhDph83XaGc0o0/edit?usp=sharing"",""งบพรบ!FN42"")"),0)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IFERROR(__xludf.DUMMYFUNCTION("IMPORTRANGE(""https://docs.google.com/spreadsheets/d/1MeEWN-I1oV_STSDYn1IFDPWt_1FKiwhDph83XaGc0o0/edit?usp=sharing"",""งบพรบ!FJ42"")"),0)</f>
        <v>0</v>
      </c>
      <c r="M397" s="870">
        <f ca="1">IFERROR(__xludf.DUMMYFUNCTION("IMPORTRANGE(""https://docs.google.com/spreadsheets/d/1MeEWN-I1oV_STSDYn1IFDPWt_1FKiwhDph83XaGc0o0/edit?usp=sharing"",""งบพรบ!FM42"")"),0)</f>
        <v>0</v>
      </c>
      <c r="N397" s="870">
        <f ca="1">IFERROR(__xludf.DUMMYFUNCTION("IMPORTRANGE(""https://docs.google.com/spreadsheets/d/1MeEWN-I1oV_STSDYn1IFDPWt_1FKiwhDph83XaGc0o0/edit?usp=sharing"",""งบพรบ!FO42"")"),0)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IFERROR(__xludf.DUMMYFUNCTION("IMPORTRANGE(""https://docs.google.com/spreadsheets/d/1MeEWN-I1oV_STSDYn1IFDPWt_1FKiwhDph83XaGc0o0/edit?usp=sharing"",""งบพรบ!FQ42"")"),0)</f>
        <v>0</v>
      </c>
      <c r="M407" s="870">
        <f ca="1">IFERROR(__xludf.DUMMYFUNCTION("IMPORTRANGE(""https://docs.google.com/spreadsheets/d/1MeEWN-I1oV_STSDYn1IFDPWt_1FKiwhDph83XaGc0o0/edit?usp=sharing"",""งบพรบ!FV42"")"),0)</f>
        <v>0</v>
      </c>
      <c r="N407" s="870">
        <f ca="1">IFERROR(__xludf.DUMMYFUNCTION("IMPORTRANGE(""https://docs.google.com/spreadsheets/d/1MeEWN-I1oV_STSDYn1IFDPWt_1FKiwhDph83XaGc0o0/edit?usp=sharing"",""งบพรบ!FX42"")"),0)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IFERROR(__xludf.DUMMYFUNCTION("IMPORTRANGE(""https://docs.google.com/spreadsheets/d/1MeEWN-I1oV_STSDYn1IFDPWt_1FKiwhDph83XaGc0o0/edit?usp=sharing"",""งบพรบ!FT42"")"),0)</f>
        <v>0</v>
      </c>
      <c r="M410" s="870">
        <f ca="1">IFERROR(__xludf.DUMMYFUNCTION("IMPORTRANGE(""https://docs.google.com/spreadsheets/d/1MeEWN-I1oV_STSDYn1IFDPWt_1FKiwhDph83XaGc0o0/edit?usp=sharing"",""งบพรบ!FW42"")"),0)</f>
        <v>0</v>
      </c>
      <c r="N410" s="870">
        <f ca="1">IFERROR(__xludf.DUMMYFUNCTION("IMPORTRANGE(""https://docs.google.com/spreadsheets/d/1MeEWN-I1oV_STSDYn1IFDPWt_1FKiwhDph83XaGc0o0/edit?usp=sharing"",""งบพรบ!FY42"")"),0)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2507047</v>
      </c>
      <c r="M414" s="1257">
        <f t="shared" si="181"/>
        <v>0</v>
      </c>
      <c r="N414" s="1257">
        <f t="shared" si="181"/>
        <v>1122878.71</v>
      </c>
      <c r="O414" s="1257">
        <f ca="1">IF(L414&gt;0,N414*100/L414,0)</f>
        <v>44.788897455851448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59220</v>
      </c>
      <c r="O419" s="972">
        <f t="shared" ref="O419:O424" ca="1" si="185">IF(L419&gt;0,N419*100/L419,0)</f>
        <v>75.286041189931353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59220</v>
      </c>
      <c r="O421" s="870">
        <f t="shared" ca="1" si="185"/>
        <v>75.286041189931353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59220</v>
      </c>
      <c r="O422" s="864">
        <f t="shared" ca="1" si="185"/>
        <v>75.286041189931353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IFERROR(__xludf.DUMMYFUNCTION("IMPORTRANGE(""https://docs.google.com/spreadsheets/d/1QqKyyYR6Q21VydFLVH3TRQUabQu_ym0Zz7PgGX0-kHA/edit?usp=sharing"",""แผน!EY42"")"),78660)</f>
        <v>78660</v>
      </c>
      <c r="M424" s="870">
        <v>0</v>
      </c>
      <c r="N424" s="870">
        <f>N425+N426+N427+N428</f>
        <v>59220</v>
      </c>
      <c r="O424" s="870">
        <f t="shared" ca="1" si="185"/>
        <v>75.286041189931353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/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59220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IFERROR(__xludf.DUMMYFUNCTION("IMPORTRANGE(""https://docs.google.com/spreadsheets/d/1QqKyyYR6Q21VydFLVH3TRQUabQu_ym0Zz7PgGX0-kHA/edit?usp=sharing"",""แผน!FB42"")"),0)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IFERROR(__xludf.DUMMYFUNCTION("IMPORTRANGE(""https://docs.google.com/spreadsheets/d/1QqKyyYR6Q21VydFLVH3TRQUabQu_ym0Zz7PgGX0-kHA/edit?usp=sharing"",""แผน!FC42"")"),20)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IFERROR(__xludf.DUMMYFUNCTION("IMPORTRANGE(""https://docs.google.com/spreadsheets/d/1QqKyyYR6Q21VydFLVH3TRQUabQu_ym0Zz7PgGX0-kHA/edit?usp=sharing"",""แผน!FD42"")"),0)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IFERROR(__xludf.DUMMYFUNCTION("IMPORTRANGE(""https://docs.google.com/spreadsheets/d/1QqKyyYR6Q21VydFLVH3TRQUabQu_ym0Zz7PgGX0-kHA/edit?usp=sharing"",""แผน!FE42"")"),0)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IFERROR(__xludf.DUMMYFUNCTION("IMPORTRANGE(""https://docs.google.com/spreadsheets/d/1QqKyyYR6Q21VydFLVH3TRQUabQu_ym0Zz7PgGX0-kHA/edit?usp=sharing"",""แผน!FF42"")"),20)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IFERROR(__xludf.DUMMYFUNCTION("IMPORTRANGE(""https://docs.google.com/spreadsheets/d/1QqKyyYR6Q21VydFLVH3TRQUabQu_ym0Zz7PgGX0-kHA/edit?usp=sharing"",""แผน!FG42"")"),1)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IFERROR(__xludf.DUMMYFUNCTION("IMPORTRANGE(""https://docs.google.com/spreadsheets/d/1QqKyyYR6Q21VydFLVH3TRQUabQu_ym0Zz7PgGX0-kHA/edit?usp=sharing"",""แผน!FH42"")"),0)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100</v>
      </c>
      <c r="J442" s="1285">
        <f t="shared" si="195"/>
        <v>100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400</v>
      </c>
      <c r="J443" s="1270">
        <f t="shared" si="196"/>
        <v>400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688280</v>
      </c>
      <c r="M444" s="1000">
        <f t="shared" si="197"/>
        <v>0</v>
      </c>
      <c r="N444" s="1000">
        <f t="shared" si="197"/>
        <v>584280</v>
      </c>
      <c r="O444" s="1000">
        <f t="shared" ref="O444:O449" ca="1" si="198">IF(L444&gt;0,N444*100/L444,0)</f>
        <v>84.889870401580751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688280</v>
      </c>
      <c r="M446" s="870">
        <f t="shared" si="200"/>
        <v>0</v>
      </c>
      <c r="N446" s="870">
        <f t="shared" si="200"/>
        <v>584280</v>
      </c>
      <c r="O446" s="870">
        <f t="shared" ca="1" si="198"/>
        <v>84.889870401580751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688280</v>
      </c>
      <c r="M447" s="864">
        <f t="shared" si="201"/>
        <v>0</v>
      </c>
      <c r="N447" s="864">
        <f t="shared" si="201"/>
        <v>584280</v>
      </c>
      <c r="O447" s="864">
        <f t="shared" ca="1" si="198"/>
        <v>84.889870401580751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IFERROR(__xludf.DUMMYFUNCTION("IMPORTRANGE(""https://docs.google.com/spreadsheets/d/1QqKyyYR6Q21VydFLVH3TRQUabQu_ym0Zz7PgGX0-kHA/edit?usp=sharing"",""แผน!FJ42"")"),688280)</f>
        <v>688280</v>
      </c>
      <c r="M449" s="870">
        <v>0</v>
      </c>
      <c r="N449" s="870">
        <f>N450+N451+N452+N453</f>
        <v>584280</v>
      </c>
      <c r="O449" s="870">
        <f t="shared" ca="1" si="198"/>
        <v>84.889870401580751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136677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350000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39000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58603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IFERROR(__xludf.DUMMYFUNCTION("IMPORTRANGE(""https://docs.google.com/spreadsheets/d/1QqKyyYR6Q21VydFLVH3TRQUabQu_ym0Zz7PgGX0-kHA/edit?usp=sharing"",""แผน!FM42"")"),0)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IFERROR(__xludf.DUMMYFUNCTION("IMPORTRANGE(""https://docs.google.com/spreadsheets/d/1QqKyyYR6Q21VydFLVH3TRQUabQu_ym0Zz7PgGX0-kHA/edit?usp=sharing"",""แผน!FN42"")"),100)</f>
        <v>100</v>
      </c>
      <c r="J460" s="992">
        <v>100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IFERROR(__xludf.DUMMYFUNCTION("IMPORTRANGE(""https://docs.google.com/spreadsheets/d/1QqKyyYR6Q21VydFLVH3TRQUabQu_ym0Zz7PgGX0-kHA/edit?usp=sharing"",""แผน!FO42"")"),400)</f>
        <v>400</v>
      </c>
      <c r="J462" s="992">
        <v>400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IFERROR(__xludf.DUMMYFUNCTION("IMPORTRANGE(""https://docs.google.com/spreadsheets/d/1QqKyyYR6Q21VydFLVH3TRQUabQu_ym0Zz7PgGX0-kHA/edit?usp=sharing"",""แผน!FO42"")"),400)</f>
        <v>400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IFERROR(__xludf.DUMMYFUNCTION("IMPORTRANGE(""https://docs.google.com/spreadsheets/d/1QqKyyYR6Q21VydFLVH3TRQUabQu_ym0Zz7PgGX0-kHA/edit?usp=sharing"",""แผน!FN42"")"),100)</f>
        <v>100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IFERROR(__xludf.DUMMYFUNCTION("IMPORTRANGE(""https://docs.google.com/spreadsheets/d/1QqKyyYR6Q21VydFLVH3TRQUabQu_ym0Zz7PgGX0-kHA/edit?usp=sharing"",""แผน!FX42"")"),61)</f>
        <v>61</v>
      </c>
      <c r="J465" s="1285">
        <f>J485+J489+J492</f>
        <v>61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IFERROR(__xludf.DUMMYFUNCTION("IMPORTRANGE(""https://docs.google.com/spreadsheets/d/1QqKyyYR6Q21VydFLVH3TRQUabQu_ym0Zz7PgGX0-kHA/edit?usp=sharing"",""แผน!FW42"")"),600)</f>
        <v>600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491423</v>
      </c>
      <c r="M467" s="1000">
        <f t="shared" si="206"/>
        <v>0</v>
      </c>
      <c r="N467" s="1000">
        <f t="shared" si="206"/>
        <v>115423</v>
      </c>
      <c r="O467" s="1000">
        <f t="shared" ref="O467:O472" ca="1" si="207">IF(L467&gt;0,N467*100/L467,0)</f>
        <v>23.487504654849285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491423</v>
      </c>
      <c r="M469" s="870">
        <f t="shared" si="209"/>
        <v>0</v>
      </c>
      <c r="N469" s="870">
        <f t="shared" si="209"/>
        <v>115423</v>
      </c>
      <c r="O469" s="870">
        <f t="shared" ca="1" si="207"/>
        <v>23.487504654849285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491423</v>
      </c>
      <c r="M470" s="864">
        <f t="shared" si="210"/>
        <v>0</v>
      </c>
      <c r="N470" s="864">
        <f t="shared" si="210"/>
        <v>115423</v>
      </c>
      <c r="O470" s="864">
        <f t="shared" ca="1" si="207"/>
        <v>23.487504654849285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IFERROR(__xludf.DUMMYFUNCTION("IMPORTRANGE(""https://docs.google.com/spreadsheets/d/1QqKyyYR6Q21VydFLVH3TRQUabQu_ym0Zz7PgGX0-kHA/edit?usp=sharing"",""แผน!FS42"")"),491423)</f>
        <v>491423</v>
      </c>
      <c r="M472" s="870">
        <v>0</v>
      </c>
      <c r="N472" s="870">
        <f>N473+N474+N475+N476</f>
        <v>115423</v>
      </c>
      <c r="O472" s="870">
        <f t="shared" ca="1" si="207"/>
        <v>23.487504654849285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60723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54700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IFERROR(__xludf.DUMMYFUNCTION("IMPORTRANGE(""https://docs.google.com/spreadsheets/d/1QqKyyYR6Q21VydFLVH3TRQUabQu_ym0Zz7PgGX0-kHA/edit?usp=sharing"",""แผน!FV42"")"),0)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IFERROR(__xludf.DUMMYFUNCTION("IMPORTRANGE(""https://docs.google.com/spreadsheets/d/1QqKyyYR6Q21VydFLVH3TRQUabQu_ym0Zz7PgGX0-kHA/edit?usp=sharing"",""แผน!FY42"")"),540)</f>
        <v>540</v>
      </c>
      <c r="J483" s="992">
        <v>540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IFERROR(__xludf.DUMMYFUNCTION("IMPORTRANGE(""https://docs.google.com/spreadsheets/d/1QqKyyYR6Q21VydFLVH3TRQUabQu_ym0Zz7PgGX0-kHA/edit?usp=sharing"",""แผน!FZ42"")"),54)</f>
        <v>54</v>
      </c>
      <c r="J485" s="992">
        <v>54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IFERROR(__xludf.DUMMYFUNCTION("IMPORTRANGE(""https://docs.google.com/spreadsheets/d/1QqKyyYR6Q21VydFLVH3TRQUabQu_ym0Zz7PgGX0-kHA/edit?usp=sharing"",""แผน!GA42"")"),60)</f>
        <v>60</v>
      </c>
      <c r="J487" s="992">
        <v>60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IFERROR(__xludf.DUMMYFUNCTION("IMPORTRANGE(""https://docs.google.com/spreadsheets/d/1QqKyyYR6Q21VydFLVH3TRQUabQu_ym0Zz7PgGX0-kHA/edit?usp=sharing"",""แผน!GB42"")"),6)</f>
        <v>6</v>
      </c>
      <c r="J489" s="992">
        <v>6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IFERROR(__xludf.DUMMYFUNCTION("IMPORTRANGE(""https://docs.google.com/spreadsheets/d/1QqKyyYR6Q21VydFLVH3TRQUabQu_ym0Zz7PgGX0-kHA/edit?usp=sharing"",""แผน!GC42"")"),1)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IFERROR(__xludf.DUMMYFUNCTION("IMPORTRANGE(""https://docs.google.com/spreadsheets/d/1QqKyyYR6Q21VydFLVH3TRQUabQu_ym0Zz7PgGX0-kHA/edit?usp=sharing"",""แผน!FY42"")"),540)</f>
        <v>540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IFERROR(__xludf.DUMMYFUNCTION("IMPORTRANGE(""https://docs.google.com/spreadsheets/d/1QqKyyYR6Q21VydFLVH3TRQUabQu_ym0Zz7PgGX0-kHA/edit?usp=sharing"",""แผน!GA42"")"),60)</f>
        <v>60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IFERROR(__xludf.DUMMYFUNCTION("IMPORTRANGE(""https://docs.google.com/spreadsheets/d/1QqKyyYR6Q21VydFLVH3TRQUabQu_ym0Zz7PgGX0-kHA/edit?usp=sharing"",""แผน!GQ42"")"),0)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IFERROR(__xludf.DUMMYFUNCTION("IMPORTRANGE(""https://docs.google.com/spreadsheets/d/1QqKyyYR6Q21VydFLVH3TRQUabQu_ym0Zz7PgGX0-kHA/edit?usp=sharing"",""แผน!GT42"")"),0)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IFERROR(__xludf.DUMMYFUNCTION("IMPORTRANGE(""https://docs.google.com/spreadsheets/d/1QqKyyYR6Q21VydFLVH3TRQUabQu_ym0Zz7PgGX0-kHA/edit?usp=sharing"",""แผน!GU42"")"),0)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IFERROR(__xludf.DUMMYFUNCTION("IMPORTRANGE(""https://docs.google.com/spreadsheets/d/1QqKyyYR6Q21VydFLVH3TRQUabQu_ym0Zz7PgGX0-kHA/edit?usp=sharing"",""แผน!GV42"")"),0)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IFERROR(__xludf.DUMMYFUNCTION("IMPORTRANGE(""https://docs.google.com/spreadsheets/d/1QqKyyYR6Q21VydFLVH3TRQUabQu_ym0Zz7PgGX0-kHA/edit?usp=sharing"",""แผน!GW42"")"),0)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IFERROR(__xludf.DUMMYFUNCTION("IMPORTRANGE(""https://docs.google.com/spreadsheets/d/1QqKyyYR6Q21VydFLVH3TRQUabQu_ym0Zz7PgGX0-kHA/edit?usp=sharing"",""แผน!GX42"")"),0)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IFERROR(__xludf.DUMMYFUNCTION("IMPORTRANGE(""https://docs.google.com/spreadsheets/d/1QqKyyYR6Q21VydFLVH3TRQUabQu_ym0Zz7PgGX0-kHA/edit?usp=sharing"",""แผน!GY42"")"),0)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IFERROR(__xludf.DUMMYFUNCTION("IMPORTRANGE(""https://docs.google.com/spreadsheets/d/1QqKyyYR6Q21VydFLVH3TRQUabQu_ym0Zz7PgGX0-kHA/edit?usp=sharing"",""แผน!GZ42"")"),0)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63455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525419</v>
      </c>
      <c r="M544" s="972">
        <f t="shared" si="236"/>
        <v>0</v>
      </c>
      <c r="N544" s="972">
        <f t="shared" si="236"/>
        <v>166240.85</v>
      </c>
      <c r="O544" s="972">
        <f t="shared" ref="O544:O549" ca="1" si="237">IF(L544&gt;0,N544*100/L544,0)</f>
        <v>31.639672337696201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525419</v>
      </c>
      <c r="M546" s="870">
        <f t="shared" si="240"/>
        <v>0</v>
      </c>
      <c r="N546" s="870">
        <f t="shared" si="240"/>
        <v>166240.85</v>
      </c>
      <c r="O546" s="870">
        <f t="shared" ca="1" si="237"/>
        <v>31.639672337696201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525419</v>
      </c>
      <c r="M547" s="864">
        <f t="shared" si="241"/>
        <v>0</v>
      </c>
      <c r="N547" s="864">
        <f t="shared" si="241"/>
        <v>166240.85</v>
      </c>
      <c r="O547" s="864">
        <f t="shared" ca="1" si="237"/>
        <v>31.639672337696201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IFERROR(__xludf.DUMMYFUNCTION("IMPORTRANGE(""https://docs.google.com/spreadsheets/d/1QqKyyYR6Q21VydFLVH3TRQUabQu_ym0Zz7PgGX0-kHA/edit?usp=sharing"",""แผน!HB42"")"),525419)</f>
        <v>525419</v>
      </c>
      <c r="M549" s="870">
        <v>0</v>
      </c>
      <c r="N549" s="870">
        <f>N550+N551+N552+N553+N554</f>
        <v>166240.85</v>
      </c>
      <c r="O549" s="870">
        <f t="shared" ca="1" si="237"/>
        <v>31.639672337696201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30612.85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135628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IFERROR(__xludf.DUMMYFUNCTION("IMPORTRANGE(""https://docs.google.com/spreadsheets/d/1QqKyyYR6Q21VydFLVH3TRQUabQu_ym0Zz7PgGX0-kHA/edit?usp=sharing"",""แผน!HF42"")"),0)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63455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IFERROR(__xludf.DUMMYFUNCTION("IMPORTRANGE(""https://docs.google.com/spreadsheets/d/1QqKyyYR6Q21VydFLVH3TRQUabQu_ym0Zz7PgGX0-kHA/edit?usp=sharing"",""แผน!HH42"")"),63455)</f>
        <v>63455</v>
      </c>
      <c r="J560" s="998">
        <f t="shared" ref="J560:J561" si="247">J562+J564+J566</f>
        <v>63455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IFERROR(__xludf.DUMMYFUNCTION("IMPORTRANGE(""https://docs.google.com/spreadsheets/d/1QqKyyYR6Q21VydFLVH3TRQUabQu_ym0Zz7PgGX0-kHA/edit?usp=sharing"",""แผน!HG42"")"),7501)</f>
        <v>7501</v>
      </c>
      <c r="J561" s="998">
        <f t="shared" si="247"/>
        <v>7501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52695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6380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8669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886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2091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235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IFERROR(__xludf.DUMMYFUNCTION("IMPORTRANGE(""https://docs.google.com/spreadsheets/d/1QqKyyYR6Q21VydFLVH3TRQUabQu_ym0Zz7PgGX0-kHA/edit?usp=sharing"",""แผน!HH42"")"),63455)</f>
        <v>63455</v>
      </c>
      <c r="J568" s="999">
        <f t="shared" ref="J568:J569" si="248">J570+J572+J574</f>
        <v>63455</v>
      </c>
      <c r="K568" s="1142">
        <f t="shared" ref="K568:K569" ca="1" si="249">IF(I568&gt;0,J568*100/I568,0)</f>
        <v>100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IFERROR(__xludf.DUMMYFUNCTION("IMPORTRANGE(""https://docs.google.com/spreadsheets/d/1QqKyyYR6Q21VydFLVH3TRQUabQu_ym0Zz7PgGX0-kHA/edit?usp=sharing"",""แผน!HG42"")"),7501)</f>
        <v>7501</v>
      </c>
      <c r="J569" s="999">
        <f t="shared" si="248"/>
        <v>7501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52990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6418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8286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843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2179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240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IFERROR(__xludf.DUMMYFUNCTION("IMPORTRANGE(""https://docs.google.com/spreadsheets/d/1QqKyyYR6Q21VydFLVH3TRQUabQu_ym0Zz7PgGX0-kHA/edit?usp=sharing"",""แผน!HH42"")"),63455)</f>
        <v>63455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IFERROR(__xludf.DUMMYFUNCTION("IMPORTRANGE(""https://docs.google.com/spreadsheets/d/1QqKyyYR6Q21VydFLVH3TRQUabQu_ym0Zz7PgGX0-kHA/edit?usp=sharing"",""แผน!HG42"")"),7501)</f>
        <v>7501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6025.25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IFERROR(__xludf.DUMMYFUNCTION("IMPORTRANGE(""https://docs.google.com/spreadsheets/d/1QqKyyYR6Q21VydFLVH3TRQUabQu_ym0Zz7PgGX0-kHA/edit?usp=sharing"",""แผน!HJ42"")"),6025.25)</f>
        <v>6025.25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IFERROR(__xludf.DUMMYFUNCTION("IMPORTRANGE(""https://docs.google.com/spreadsheets/d/1QqKyyYR6Q21VydFLVH3TRQUabQu_ym0Zz7PgGX0-kHA/edit?usp=sharing"",""แผน!HI42"")"),553)</f>
        <v>553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IFERROR(__xludf.DUMMYFUNCTION("IMPORTRANGE(""https://docs.google.com/spreadsheets/d/1QqKyyYR6Q21VydFLVH3TRQUabQu_ym0Zz7PgGX0-kHA/edit?usp=sharing"",""แผน!HL42"")"),144)</f>
        <v>144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IFERROR(__xludf.DUMMYFUNCTION("IMPORTRANGE(""https://docs.google.com/spreadsheets/d/1QqKyyYR6Q21VydFLVH3TRQUabQu_ym0Zz7PgGX0-kHA/edit?usp=sharing"",""แผน!HK42"")"),9)</f>
        <v>9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210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442125</v>
      </c>
      <c r="M629" s="1000">
        <f t="shared" si="263"/>
        <v>0</v>
      </c>
      <c r="N629" s="1000">
        <f t="shared" si="263"/>
        <v>82230</v>
      </c>
      <c r="O629" s="1000">
        <f t="shared" ref="O629:O634" ca="1" si="264">IF(L629&gt;0,N629*100/L629,0)</f>
        <v>18.598812553011026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442125</v>
      </c>
      <c r="M631" s="870">
        <f t="shared" si="266"/>
        <v>0</v>
      </c>
      <c r="N631" s="870">
        <f t="shared" si="266"/>
        <v>82230</v>
      </c>
      <c r="O631" s="870">
        <f t="shared" ca="1" si="264"/>
        <v>18.598812553011026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442125</v>
      </c>
      <c r="M632" s="864">
        <f t="shared" si="267"/>
        <v>0</v>
      </c>
      <c r="N632" s="864">
        <f t="shared" si="267"/>
        <v>82230</v>
      </c>
      <c r="O632" s="864">
        <f t="shared" ca="1" si="264"/>
        <v>18.598812553011026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IFERROR(__xludf.DUMMYFUNCTION("IMPORTRANGE(""https://docs.google.com/spreadsheets/d/1QqKyyYR6Q21VydFLVH3TRQUabQu_ym0Zz7PgGX0-kHA/edit?usp=sharing"",""แผน!HN42"")"),442125)</f>
        <v>442125</v>
      </c>
      <c r="M634" s="870">
        <v>0</v>
      </c>
      <c r="N634" s="870">
        <f>N635+N636+N637+N638</f>
        <v>82230</v>
      </c>
      <c r="O634" s="870">
        <f t="shared" ca="1" si="264"/>
        <v>18.598812553011026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39000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43230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IFERROR(__xludf.DUMMYFUNCTION("IMPORTRANGE(""https://docs.google.com/spreadsheets/d/1QqKyyYR6Q21VydFLVH3TRQUabQu_ym0Zz7PgGX0-kHA/edit?usp=sharing"",""แผน!HQ42"")"),0)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IFERROR(__xludf.DUMMYFUNCTION("IMPORTRANGE(""https://docs.google.com/spreadsheets/d/1QqKyyYR6Q21VydFLVH3TRQUabQu_ym0Zz7PgGX0-kHA/edit?usp=sharing"",""แผน!HR42"")"),0)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IFERROR(__xludf.DUMMYFUNCTION("IMPORTRANGE(""https://docs.google.com/spreadsheets/d/1QqKyyYR6Q21VydFLVH3TRQUabQu_ym0Zz7PgGX0-kHA/edit?usp=sharing"",""แผน!HR42"")"),0)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IFERROR(__xludf.DUMMYFUNCTION("IMPORTRANGE(""https://docs.google.com/spreadsheets/d/1XWAQStnk-4SwqDmLtmXYiTMKHgktTP8We1SCoS47DrQ/edit?usp=sharing"",""จัดที่ดิน!AS42"")"),64)</f>
        <v>64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IFERROR(__xludf.DUMMYFUNCTION("IMPORTRANGE(""https://docs.google.com/spreadsheets/d/1XWAQStnk-4SwqDmLtmXYiTMKHgktTP8We1SCoS47DrQ/edit?usp=sharing"",""จัดที่ดิน!AT42"")"),34.44)</f>
        <v>34.44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IFERROR(__xludf.DUMMYFUNCTION("IMPORTRANGE(""https://docs.google.com/spreadsheets/d/1QqKyyYR6Q21VydFLVH3TRQUabQu_ym0Zz7PgGX0-kHA/edit?usp=sharing"",""แผน!HS42"")"),210)</f>
        <v>210</v>
      </c>
      <c r="J647" s="863">
        <f ca="1">IFERROR(__xludf.DUMMYFUNCTION("IMPORTRANGE(""https://docs.google.com/spreadsheets/d/1XWAQStnk-4SwqDmLtmXYiTMKHgktTP8We1SCoS47DrQ/edit?usp=sharing"",""จัดที่ดิน!AU42"")"),140)</f>
        <v>140</v>
      </c>
      <c r="K647" s="978">
        <f t="shared" ca="1" si="271"/>
        <v>66.666666666666671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IFERROR(__xludf.DUMMYFUNCTION("IMPORTRANGE(""https://docs.google.com/spreadsheets/d/1XWAQStnk-4SwqDmLtmXYiTMKHgktTP8We1SCoS47DrQ/edit?usp=sharing"",""จัดที่ดิน!AV42"")"),68.45)</f>
        <v>68.45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IFERROR(__xludf.DUMMYFUNCTION("IMPORTRANGE(""https://docs.google.com/spreadsheets/d/1QqKyyYR6Q21VydFLVH3TRQUabQu_ym0Zz7PgGX0-kHA/edit?usp=sharing"",""แผน!HS42"")"),210)</f>
        <v>210</v>
      </c>
      <c r="J649" s="863">
        <f ca="1">IFERROR(__xludf.DUMMYFUNCTION("IMPORTRANGE(""https://docs.google.com/spreadsheets/d/1XWAQStnk-4SwqDmLtmXYiTMKHgktTP8We1SCoS47DrQ/edit?usp=sharing"",""จัดที่ดิน!AW42"")"),139)</f>
        <v>139</v>
      </c>
      <c r="K649" s="978">
        <f t="shared" ca="1" si="271"/>
        <v>66.19047619047619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IFERROR(__xludf.DUMMYFUNCTION("IMPORTRANGE(""https://docs.google.com/spreadsheets/d/1XWAQStnk-4SwqDmLtmXYiTMKHgktTP8We1SCoS47DrQ/edit?usp=sharing"",""จัดที่ดิน!AX42"")"),67.27)</f>
        <v>67.27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IFERROR(__xludf.DUMMYFUNCTION("IMPORTRANGE(""https://docs.google.com/spreadsheets/d/1QqKyyYR6Q21VydFLVH3TRQUabQu_ym0Zz7PgGX0-kHA/edit?usp=sharing"",""แผน!HS42"")"),210)</f>
        <v>210</v>
      </c>
      <c r="J651" s="863">
        <f ca="1">IFERROR(__xludf.DUMMYFUNCTION("IMPORTRANGE(""https://docs.google.com/spreadsheets/d/1XWAQStnk-4SwqDmLtmXYiTMKHgktTP8We1SCoS47DrQ/edit?usp=sharing"",""จัดที่ดิน!AY42"")"),0)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IFERROR(__xludf.DUMMYFUNCTION("IMPORTRANGE(""https://docs.google.com/spreadsheets/d/1XWAQStnk-4SwqDmLtmXYiTMKHgktTP8We1SCoS47DrQ/edit?usp=sharing"",""จัดที่ดิน!AZ42"")"),0)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50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12600</v>
      </c>
      <c r="M655" s="1000">
        <f t="shared" si="273"/>
        <v>0</v>
      </c>
      <c r="N655" s="1000">
        <f t="shared" si="273"/>
        <v>360</v>
      </c>
      <c r="O655" s="1000">
        <f t="shared" ref="O655:O660" ca="1" si="274">IF(L655&gt;0,N655*100/L655,0)</f>
        <v>2.8571428571428572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12600</v>
      </c>
      <c r="M657" s="870">
        <f t="shared" si="276"/>
        <v>0</v>
      </c>
      <c r="N657" s="870">
        <f t="shared" si="276"/>
        <v>360</v>
      </c>
      <c r="O657" s="870">
        <f t="shared" ca="1" si="274"/>
        <v>2.8571428571428572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12600</v>
      </c>
      <c r="M658" s="864">
        <f t="shared" si="277"/>
        <v>0</v>
      </c>
      <c r="N658" s="864">
        <f t="shared" si="277"/>
        <v>360</v>
      </c>
      <c r="O658" s="864">
        <f t="shared" ca="1" si="274"/>
        <v>2.8571428571428572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IFERROR(__xludf.DUMMYFUNCTION("IMPORTRANGE(""https://docs.google.com/spreadsheets/d/1QqKyyYR6Q21VydFLVH3TRQUabQu_ym0Zz7PgGX0-kHA/edit?usp=sharing"",""แผน!HV42"")"),12600)</f>
        <v>12600</v>
      </c>
      <c r="M660" s="870">
        <v>0</v>
      </c>
      <c r="N660" s="870">
        <f>N661+N662+N663+N664</f>
        <v>360</v>
      </c>
      <c r="O660" s="870">
        <f t="shared" ca="1" si="274"/>
        <v>2.8571428571428572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360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IFERROR(__xludf.DUMMYFUNCTION("IMPORTRANGE(""https://docs.google.com/spreadsheets/d/1QqKyyYR6Q21VydFLVH3TRQUabQu_ym0Zz7PgGX0-kHA/edit?usp=sharing"",""แผน!IA42"")"),50)</f>
        <v>50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IFERROR(__xludf.DUMMYFUNCTION("IMPORTRANGE(""https://docs.google.com/spreadsheets/d/1QqKyyYR6Q21VydFLVH3TRQUabQu_ym0Zz7PgGX0-kHA/edit?usp=sharing"",""แผน!HZ42"")"),6)</f>
        <v>6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IFERROR(__xludf.DUMMYFUNCTION("IMPORTRANGE(""https://docs.google.com/spreadsheets/d/1QqKyyYR6Q21VydFLVH3TRQUabQu_ym0Zz7PgGX0-kHA/edit?usp=sharing"",""แผน!HZ42"")"),6)</f>
        <v>6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IFERROR(__xludf.DUMMYFUNCTION("IMPORTRANGE(""https://docs.google.com/spreadsheets/d/1QqKyyYR6Q21VydFLVH3TRQUabQu_ym0Zz7PgGX0-kHA/edit?usp=sharing"",""แผน!IB42"")"),0)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1980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1980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1980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IFERROR(__xludf.DUMMYFUNCTION("IMPORTRANGE(""https://docs.google.com/spreadsheets/d/1QqKyyYR6Q21VydFLVH3TRQUabQu_ym0Zz7PgGX0-kHA/edit?usp=sharing"",""แผน!HW42"")"),1980)</f>
        <v>1980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IFERROR(__xludf.DUMMYFUNCTION("IMPORTRANGE(""https://docs.google.com/spreadsheets/d/1QqKyyYR6Q21VydFLVH3TRQUabQu_ym0Zz7PgGX0-kHA/edit?usp=sharing"",""แผน!IC42"")"),0)</f>
        <v>0</v>
      </c>
      <c r="J699" s="863">
        <f ca="1">IFERROR(__xludf.DUMMYFUNCTION("IMPORTRANGE(""https://docs.google.com/spreadsheets/d/1XWAQStnk-4SwqDmLtmXYiTMKHgktTP8We1SCoS47DrQ/edit?usp=sharing"",""จัดที่ดิน!BB42"")"),0)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IFERROR(__xludf.DUMMYFUNCTION("IMPORTRANGE(""https://docs.google.com/spreadsheets/d/1QqKyyYR6Q21VydFLVH3TRQUabQu_ym0Zz7PgGX0-kHA/edit?usp=sharing"",""แผน!ID42"")"),0)</f>
        <v>0</v>
      </c>
      <c r="J700" s="863">
        <f ca="1">IFERROR(__xludf.DUMMYFUNCTION("IMPORTRANGE(""https://docs.google.com/spreadsheets/d/1XWAQStnk-4SwqDmLtmXYiTMKHgktTP8We1SCoS47DrQ/edit?usp=sharing"",""จัดที่ดิน!BD42"")"),0)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IFERROR(__xludf.DUMMYFUNCTION("IMPORTRANGE(""https://docs.google.com/spreadsheets/d/1QqKyyYR6Q21VydFLVH3TRQUabQu_ym0Zz7PgGX0-kHA/edit?usp=sharing"",""แผน!IE42"")"),14)</f>
        <v>14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IFERROR(__xludf.DUMMYFUNCTION("IMPORTRANGE(""https://docs.google.com/spreadsheets/d/1QqKyyYR6Q21VydFLVH3TRQUabQu_ym0Zz7PgGX0-kHA/edit?usp=sharing"",""แผน!IF42"")"),14)</f>
        <v>14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IFERROR(__xludf.DUMMYFUNCTION("IMPORTRANGE(""https://docs.google.com/spreadsheets/d/1QqKyyYR6Q21VydFLVH3TRQUabQu_ym0Zz7PgGX0-kHA/edit?usp=sharing"",""แผน!IG42"")"),0)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IFERROR(__xludf.DUMMYFUNCTION("IMPORTRANGE(""https://docs.google.com/spreadsheets/d/1QqKyyYR6Q21VydFLVH3TRQUabQu_ym0Zz7PgGX0-kHA/edit?usp=sharing"",""แผน!IH42"")"),14)</f>
        <v>14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1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14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IFERROR(__xludf.DUMMYFUNCTION("IMPORTRANGE(""https://docs.google.com/spreadsheets/d/1XWAQStnk-4SwqDmLtmXYiTMKHgktTP8We1SCoS47DrQ/edit?usp=sharing"",""จัดที่ดิน!BF42"")"),0)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IFERROR(__xludf.DUMMYFUNCTION("IMPORTRANGE(""https://docs.google.com/spreadsheets/d/1XWAQStnk-4SwqDmLtmXYiTMKHgktTP8We1SCoS47DrQ/edit?usp=sharing"",""จัดที่ดิน!BG42"")"),0)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IFERROR(__xludf.DUMMYFUNCTION("IMPORTRANGE(""https://docs.google.com/spreadsheets/d/1QqKyyYR6Q21VydFLVH3TRQUabQu_ym0Zz7PgGX0-kHA/edit?usp=sharing"",""แผน!II42"")"),14)</f>
        <v>14</v>
      </c>
      <c r="J720" s="863">
        <f ca="1">IFERROR(__xludf.DUMMYFUNCTION("IMPORTRANGE(""https://docs.google.com/spreadsheets/d/1XWAQStnk-4SwqDmLtmXYiTMKHgktTP8We1SCoS47DrQ/edit?usp=sharing"",""จัดที่ดิน!BH42"")"),0)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IFERROR(__xludf.DUMMYFUNCTION("IMPORTRANGE(""https://docs.google.com/spreadsheets/d/1QqKyyYR6Q21VydFLVH3TRQUabQu_ym0Zz7PgGX0-kHA/edit?usp=sharing"",""แผน!IJ42"")"),0)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IFERROR(__xludf.DUMMYFUNCTION("IMPORTRANGE(""https://docs.google.com/spreadsheets/d/1QqKyyYR6Q21VydFLVH3TRQUabQu_ym0Zz7PgGX0-kHA/edit?usp=sharing"",""แผน!IK42"")"),0)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IFERROR(__xludf.DUMMYFUNCTION("IMPORTRANGE(""https://docs.google.com/spreadsheets/d/1QqKyyYR6Q21VydFLVH3TRQUabQu_ym0Zz7PgGX0-kHA/edit?usp=sharing"",""แผน!IL42"")"),0)</f>
        <v>0</v>
      </c>
      <c r="J723" s="863">
        <f ca="1">IFERROR(__xludf.DUMMYFUNCTION("IMPORTRANGE(""https://docs.google.com/spreadsheets/d/1XWAQStnk-4SwqDmLtmXYiTMKHgktTP8We1SCoS47DrQ/edit?usp=sharing"",""จัดที่ดิน!BM42"")"),0)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IFERROR(__xludf.DUMMYFUNCTION("IMPORTRANGE(""https://docs.google.com/spreadsheets/d/1XWAQStnk-4SwqDmLtmXYiTMKHgktTP8We1SCoS47DrQ/edit?usp=sharing"",""จัดที่ดิน!BN42"")"),0)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IFERROR(__xludf.DUMMYFUNCTION("IMPORTRANGE(""https://docs.google.com/spreadsheets/d/1QqKyyYR6Q21VydFLVH3TRQUabQu_ym0Zz7PgGX0-kHA/edit?usp=sharing"",""แผน!IM42"")"),0)</f>
        <v>0</v>
      </c>
      <c r="J725" s="863">
        <f ca="1">IFERROR(__xludf.DUMMYFUNCTION("IMPORTRANGE(""https://docs.google.com/spreadsheets/d/1XWAQStnk-4SwqDmLtmXYiTMKHgktTP8We1SCoS47DrQ/edit?usp=sharing"",""จัดที่ดิน!BO42"")"),0)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IFERROR(__xludf.DUMMYFUNCTION("IMPORTRANGE(""https://docs.google.com/spreadsheets/d/1QqKyyYR6Q21VydFLVH3TRQUabQu_ym0Zz7PgGX0-kHA/edit?usp=sharing"",""แผน!IN42"")"),0)</f>
        <v>0</v>
      </c>
      <c r="J726" s="863">
        <f ca="1">IFERROR(__xludf.DUMMYFUNCTION("IMPORTRANGE(""https://docs.google.com/spreadsheets/d/1XWAQStnk-4SwqDmLtmXYiTMKHgktTP8We1SCoS47DrQ/edit?usp=sharing"",""จัดที่ดิน!BR42"")"),0)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IFERROR(__xludf.DUMMYFUNCTION("IMPORTRANGE(""https://docs.google.com/spreadsheets/d/1XWAQStnk-4SwqDmLtmXYiTMKHgktTP8We1SCoS47DrQ/edit?usp=sharing"",""จัดที่ดิน!BS42"")"),0)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IFERROR(__xludf.DUMMYFUNCTION("IMPORTRANGE(""https://docs.google.com/spreadsheets/d/1QqKyyYR6Q21VydFLVH3TRQUabQu_ym0Zz7PgGX0-kHA/edit?usp=sharing"",""แผน!IO42"")"),0)</f>
        <v>0</v>
      </c>
      <c r="J728" s="863">
        <f ca="1">IFERROR(__xludf.DUMMYFUNCTION("IMPORTRANGE(""https://docs.google.com/spreadsheets/d/1XWAQStnk-4SwqDmLtmXYiTMKHgktTP8We1SCoS47DrQ/edit?usp=sharing"",""จัดที่ดิน!BT42"")"),0)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IFERROR(__xludf.DUMMYFUNCTION("IMPORTRANGE(""https://docs.google.com/spreadsheets/d/1QqKyyYR6Q21VydFLVH3TRQUabQu_ym0Zz7PgGX0-kHA/edit?usp=sharing"",""แผน!IP42"")"),0)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19000</v>
      </c>
      <c r="J785" s="800">
        <f t="shared" ca="1" si="318"/>
        <v>11489</v>
      </c>
      <c r="K785" s="801">
        <f ca="1">IF(I785&gt;0,J785*100/I785,0)</f>
        <v>60.468421052631577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266560</v>
      </c>
      <c r="M786" s="1000">
        <f t="shared" si="319"/>
        <v>0</v>
      </c>
      <c r="N786" s="1000">
        <f t="shared" si="319"/>
        <v>115124.86</v>
      </c>
      <c r="O786" s="1000">
        <f t="shared" ref="O786:O791" ca="1" si="320">IF(L786&gt;0,N786*100/L786,0)</f>
        <v>43.189098139255705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266560</v>
      </c>
      <c r="M788" s="870">
        <f t="shared" si="322"/>
        <v>0</v>
      </c>
      <c r="N788" s="870">
        <f t="shared" si="322"/>
        <v>115124.86</v>
      </c>
      <c r="O788" s="870">
        <f t="shared" ca="1" si="320"/>
        <v>43.189098139255705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266560</v>
      </c>
      <c r="M789" s="864">
        <f t="shared" si="323"/>
        <v>0</v>
      </c>
      <c r="N789" s="864">
        <f t="shared" si="323"/>
        <v>115124.86</v>
      </c>
      <c r="O789" s="864">
        <f t="shared" ca="1" si="320"/>
        <v>43.189098139255705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IFERROR(__xludf.DUMMYFUNCTION("IMPORTRANGE(""https://docs.google.com/spreadsheets/d/1QqKyyYR6Q21VydFLVH3TRQUabQu_ym0Zz7PgGX0-kHA/edit?usp=sharing"",""แผน!JJ42"")"),266560)</f>
        <v>266560</v>
      </c>
      <c r="M791" s="870">
        <v>0</v>
      </c>
      <c r="N791" s="870">
        <f>N792+N793+N794+N795</f>
        <v>115124.86</v>
      </c>
      <c r="O791" s="870">
        <f t="shared" ca="1" si="320"/>
        <v>43.189098139255705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v>115124.86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IFERROR(__xludf.DUMMYFUNCTION("IMPORTRANGE(""https://docs.google.com/spreadsheets/d/1MaWodYyGHDf7siQLGxnXhG4mBNTNIuy296niS2xXulU/edit?usp=sharing"",""RTK!H42"")"),20)</f>
        <v>20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IFERROR(__xludf.DUMMYFUNCTION("IMPORTRANGE(""https://docs.google.com/spreadsheets/d/1MaWodYyGHDf7siQLGxnXhG4mBNTNIuy296niS2xXulU/edit?usp=sharing"",""RTK!G42"")"),4000)</f>
        <v>4000</v>
      </c>
      <c r="J801" s="815">
        <f ca="1">IFERROR(__xludf.DUMMYFUNCTION("IMPORTRANGE(""https://docs.google.com/spreadsheets/d/1MaWodYyGHDf7siQLGxnXhG4mBNTNIuy296niS2xXulU/edit?usp=sharing"",""RTK!I42"")"),233)</f>
        <v>233</v>
      </c>
      <c r="K801" s="816">
        <f ca="1">IF(I801&gt;0,J801*100/I801,0)</f>
        <v>5.8250000000000002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IFERROR(__xludf.DUMMYFUNCTION("IMPORTRANGE(""https://docs.google.com/spreadsheets/d/1MaWodYyGHDf7siQLGxnXhG4mBNTNIuy296niS2xXulU/edit?usp=sharing"",""RTK!L42"")"),927)</f>
        <v>927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IFERROR(__xludf.DUMMYFUNCTION("IMPORTRANGE(""https://docs.google.com/spreadsheets/d/1MaWodYyGHDf7siQLGxnXhG4mBNTNIuy296niS2xXulU/edit?usp=sharing"",""RTK!K42"")"),15000)</f>
        <v>15000</v>
      </c>
      <c r="J803" s="815">
        <f ca="1">IFERROR(__xludf.DUMMYFUNCTION("IMPORTRANGE(""https://docs.google.com/spreadsheets/d/1MaWodYyGHDf7siQLGxnXhG4mBNTNIuy296niS2xXulU/edit?usp=sharing"",""RTK!M42"")"),11256)</f>
        <v>11256</v>
      </c>
      <c r="K803" s="816">
        <f t="shared" ref="K803:K804" ca="1" si="327">IF(I803&gt;0,J803*100/I803,0)</f>
        <v>75.040000000000006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863">
        <f ca="1">IFERROR(__xludf.DUMMYFUNCTION("IMPORTRANGE(""https://docs.google.com/spreadsheets/d/19vJNZY_5yjcGF2XGBMNZRCAIB0Kwfpjp8YEOfu-bneM/edit?usp=sharing"",""งานกองทุน!F42"")"),2135832.05)</f>
        <v>2135832.0499999998</v>
      </c>
      <c r="K821" s="864">
        <f t="shared" ref="K821:K828" ca="1" si="336">IF(I821&gt;0,J821*100/I821,0)</f>
        <v>40.517853536865374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IFERROR(__xludf.DUMMYFUNCTION("IMPORTRANGE(""https://docs.google.com/spreadsheets/d/19vJNZY_5yjcGF2XGBMNZRCAIB0Kwfpjp8YEOfu-bneM/edit?usp=sharing"",""งานกองทุน!C42"")"),460)</f>
        <v>460</v>
      </c>
      <c r="J822" s="863">
        <f ca="1">IFERROR(__xludf.DUMMYFUNCTION("IMPORTRANGE(""https://docs.google.com/spreadsheets/d/19vJNZY_5yjcGF2XGBMNZRCAIB0Kwfpjp8YEOfu-bneM/edit?usp=sharing"",""งานกองทุน!E42"")"),203)</f>
        <v>203</v>
      </c>
      <c r="K822" s="864">
        <f t="shared" ca="1" si="336"/>
        <v>44.130434782608695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863">
        <f ca="1">IFERROR(__xludf.DUMMYFUNCTION("IMPORTRANGE(""https://docs.google.com/spreadsheets/d/19vJNZY_5yjcGF2XGBMNZRCAIB0Kwfpjp8YEOfu-bneM/edit?usp=sharing"",""งานกองทุน!K42"")"),2900596.63)</f>
        <v>2900596.63</v>
      </c>
      <c r="K823" s="864">
        <f t="shared" ca="1" si="336"/>
        <v>8.8612686875257687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IFERROR(__xludf.DUMMYFUNCTION("IMPORTRANGE(""https://docs.google.com/spreadsheets/d/19vJNZY_5yjcGF2XGBMNZRCAIB0Kwfpjp8YEOfu-bneM/edit?usp=sharing"",""งานกองทุน!H42"")"),1616)</f>
        <v>1616</v>
      </c>
      <c r="J824" s="863">
        <f ca="1">IFERROR(__xludf.DUMMYFUNCTION("IMPORTRANGE(""https://docs.google.com/spreadsheets/d/19vJNZY_5yjcGF2XGBMNZRCAIB0Kwfpjp8YEOfu-bneM/edit?usp=sharing"",""งานกองทุน!J42"")"),691)</f>
        <v>691</v>
      </c>
      <c r="K824" s="864">
        <f t="shared" ca="1" si="336"/>
        <v>42.759900990099013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IFERROR(__xludf.DUMMYFUNCTION("IMPORTRANGE(""https://docs.google.com/spreadsheets/d/19vJNZY_5yjcGF2XGBMNZRCAIB0Kwfpjp8YEOfu-bneM/edit?usp=sharing"",""งานกองทุน!N42"")"),0)</f>
        <v>0</v>
      </c>
      <c r="J825" s="863">
        <f ca="1">IFERROR(__xludf.DUMMYFUNCTION("IMPORTRANGE(""https://docs.google.com/spreadsheets/d/19vJNZY_5yjcGF2XGBMNZRCAIB0Kwfpjp8YEOfu-bneM/edit?usp=sharing"",""งานกองทุน!P42"")"),139588.56)</f>
        <v>139588.56</v>
      </c>
      <c r="K825" s="864">
        <f t="shared" ca="1" si="336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IFERROR(__xludf.DUMMYFUNCTION("IMPORTRANGE(""https://docs.google.com/spreadsheets/d/19vJNZY_5yjcGF2XGBMNZRCAIB0Kwfpjp8YEOfu-bneM/edit?usp=sharing"",""งานกองทุน!M42"")"),0)</f>
        <v>0</v>
      </c>
      <c r="J826" s="863">
        <f ca="1">IFERROR(__xludf.DUMMYFUNCTION("IMPORTRANGE(""https://docs.google.com/spreadsheets/d/19vJNZY_5yjcGF2XGBMNZRCAIB0Kwfpjp8YEOfu-bneM/edit?usp=sharing"",""งานกองทุน!O42"")"),10)</f>
        <v>10</v>
      </c>
      <c r="K826" s="864">
        <f t="shared" ca="1" si="336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IFERROR(__xludf.DUMMYFUNCTION("IMPORTRANGE(""https://docs.google.com/spreadsheets/d/19vJNZY_5yjcGF2XGBMNZRCAIB0Kwfpjp8YEOfu-bneM/edit?usp=sharing"",""งานกองทุน!S42"")"),8280000)</f>
        <v>8280000</v>
      </c>
      <c r="J827" s="863">
        <f ca="1">IFERROR(__xludf.DUMMYFUNCTION("IMPORTRANGE(""https://docs.google.com/spreadsheets/d/19vJNZY_5yjcGF2XGBMNZRCAIB0Kwfpjp8YEOfu-bneM/edit?usp=sharing"",""งานกองทุน!U42"")"),0)</f>
        <v>0</v>
      </c>
      <c r="K827" s="864">
        <f t="shared" ca="1" si="336"/>
        <v>0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IFERROR(__xludf.DUMMYFUNCTION("IMPORTRANGE(""https://docs.google.com/spreadsheets/d/19vJNZY_5yjcGF2XGBMNZRCAIB0Kwfpjp8YEOfu-bneM/edit?usp=sharing"",""งานกองทุน!R42"")"),331)</f>
        <v>331</v>
      </c>
      <c r="J828" s="1117">
        <f ca="1">IFERROR(__xludf.DUMMYFUNCTION("IMPORTRANGE(""https://docs.google.com/spreadsheets/d/19vJNZY_5yjcGF2XGBMNZRCAIB0Kwfpjp8YEOfu-bneM/edit?usp=sharing"",""งานกองทุน!T42"")"),0)</f>
        <v>0</v>
      </c>
      <c r="K828" s="1215">
        <f t="shared" ca="1" si="336"/>
        <v>0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8A4C-5E6D-4299-90D4-222D025FBDC6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348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6071332</v>
      </c>
      <c r="M8" s="850">
        <f t="shared" ca="1" si="0"/>
        <v>3339738</v>
      </c>
      <c r="N8" s="850">
        <f t="shared" ca="1" si="0"/>
        <v>2746540.3899999997</v>
      </c>
      <c r="O8" s="850">
        <f t="shared" ref="O8:O16" ca="1" si="1">IF(L8&gt;0,N8*100/L8,0)</f>
        <v>45.237855383299731</v>
      </c>
      <c r="P8" s="850">
        <f t="shared" ref="P8:P16" ca="1" si="2">IF(M8&gt;0,N8*100/M8,0)</f>
        <v>82.23819922401097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6071332</v>
      </c>
      <c r="M10" s="857">
        <f t="shared" ca="1" si="3"/>
        <v>3339738</v>
      </c>
      <c r="N10" s="857">
        <f t="shared" ca="1" si="3"/>
        <v>2746540.3899999997</v>
      </c>
      <c r="O10" s="857">
        <f t="shared" ca="1" si="1"/>
        <v>45.237855383299731</v>
      </c>
      <c r="P10" s="857">
        <f t="shared" ca="1" si="2"/>
        <v>82.23819922401097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5908332</v>
      </c>
      <c r="M11" s="864">
        <f t="shared" ca="1" si="4"/>
        <v>3176738</v>
      </c>
      <c r="N11" s="864">
        <f t="shared" ca="1" si="4"/>
        <v>2584040.3899999997</v>
      </c>
      <c r="O11" s="864">
        <f t="shared" ca="1" si="1"/>
        <v>43.735531280232721</v>
      </c>
      <c r="P11" s="864">
        <f t="shared" ca="1" si="2"/>
        <v>81.342571845710907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5908332</v>
      </c>
      <c r="M13" s="870">
        <f t="shared" ca="1" si="5"/>
        <v>3176738</v>
      </c>
      <c r="N13" s="870">
        <f t="shared" ca="1" si="5"/>
        <v>2584040.3899999997</v>
      </c>
      <c r="O13" s="870">
        <f t="shared" ca="1" si="1"/>
        <v>43.735531280232721</v>
      </c>
      <c r="P13" s="870">
        <f t="shared" ca="1" si="2"/>
        <v>81.342571845710907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163000</v>
      </c>
      <c r="M14" s="864">
        <f t="shared" ca="1" si="6"/>
        <v>163000</v>
      </c>
      <c r="N14" s="864">
        <f t="shared" ca="1" si="6"/>
        <v>162500</v>
      </c>
      <c r="O14" s="864">
        <f t="shared" ca="1" si="1"/>
        <v>99.693251533742327</v>
      </c>
      <c r="P14" s="864">
        <f t="shared" ca="1" si="2"/>
        <v>99.693251533742327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163000</v>
      </c>
      <c r="M16" s="876">
        <f t="shared" ca="1" si="7"/>
        <v>163000</v>
      </c>
      <c r="N16" s="876">
        <f t="shared" ca="1" si="7"/>
        <v>162500</v>
      </c>
      <c r="O16" s="876">
        <f t="shared" ca="1" si="1"/>
        <v>99.693251533742327</v>
      </c>
      <c r="P16" s="876">
        <f t="shared" ca="1" si="2"/>
        <v>99.693251533742327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3941620</v>
      </c>
      <c r="M18" s="850">
        <f t="shared" ca="1" si="8"/>
        <v>3339738</v>
      </c>
      <c r="N18" s="850">
        <f t="shared" ca="1" si="8"/>
        <v>1947595.7</v>
      </c>
      <c r="O18" s="850">
        <f t="shared" ref="O18:O26" ca="1" si="9">IF(L18&gt;0,N18*100/L18,0)</f>
        <v>49.411046726980274</v>
      </c>
      <c r="P18" s="850">
        <f t="shared" ref="P18:P26" ca="1" si="10">IF(M18&gt;0,N18*100/M18,0)</f>
        <v>58.315822977730591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3941620</v>
      </c>
      <c r="M20" s="857">
        <f t="shared" ca="1" si="11"/>
        <v>3339738</v>
      </c>
      <c r="N20" s="857">
        <f t="shared" ca="1" si="11"/>
        <v>1947595.7</v>
      </c>
      <c r="O20" s="857">
        <f t="shared" ca="1" si="9"/>
        <v>49.411046726980274</v>
      </c>
      <c r="P20" s="857">
        <f t="shared" ca="1" si="10"/>
        <v>58.315822977730591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3778620</v>
      </c>
      <c r="M21" s="864">
        <f t="shared" ca="1" si="12"/>
        <v>3176738</v>
      </c>
      <c r="N21" s="864">
        <f t="shared" ca="1" si="12"/>
        <v>1785095.7</v>
      </c>
      <c r="O21" s="864">
        <f t="shared" ca="1" si="9"/>
        <v>47.242001048001654</v>
      </c>
      <c r="P21" s="864">
        <f t="shared" ca="1" si="10"/>
        <v>56.192726627125055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3778620</v>
      </c>
      <c r="M23" s="870">
        <f t="shared" ca="1" si="13"/>
        <v>3176738</v>
      </c>
      <c r="N23" s="870">
        <f t="shared" ca="1" si="13"/>
        <v>1785095.7</v>
      </c>
      <c r="O23" s="870">
        <f t="shared" ca="1" si="9"/>
        <v>47.242001048001654</v>
      </c>
      <c r="P23" s="870">
        <f t="shared" ca="1" si="10"/>
        <v>56.192726627125055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163000</v>
      </c>
      <c r="M24" s="864">
        <f t="shared" ca="1" si="14"/>
        <v>163000</v>
      </c>
      <c r="N24" s="864">
        <f t="shared" ca="1" si="14"/>
        <v>162500</v>
      </c>
      <c r="O24" s="864">
        <f t="shared" ca="1" si="9"/>
        <v>99.693251533742327</v>
      </c>
      <c r="P24" s="864">
        <f t="shared" ca="1" si="10"/>
        <v>99.693251533742327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163000</v>
      </c>
      <c r="M26" s="876">
        <f t="shared" ca="1" si="15"/>
        <v>163000</v>
      </c>
      <c r="N26" s="876">
        <f t="shared" ca="1" si="15"/>
        <v>162500</v>
      </c>
      <c r="O26" s="876">
        <f t="shared" ca="1" si="9"/>
        <v>99.693251533742327</v>
      </c>
      <c r="P26" s="876">
        <f t="shared" ca="1" si="10"/>
        <v>99.693251533742327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2129712</v>
      </c>
      <c r="M28" s="850">
        <f t="shared" si="16"/>
        <v>0</v>
      </c>
      <c r="N28" s="850">
        <f t="shared" si="16"/>
        <v>798944.69</v>
      </c>
      <c r="O28" s="850">
        <f t="shared" ref="O28:O37" ca="1" si="17">IF(L28&gt;0,N28*100/L28,0)</f>
        <v>37.514212719841929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2129712</v>
      </c>
      <c r="M30" s="857">
        <f t="shared" si="19"/>
        <v>0</v>
      </c>
      <c r="N30" s="857">
        <f t="shared" si="19"/>
        <v>798944.69</v>
      </c>
      <c r="O30" s="857">
        <f t="shared" ca="1" si="17"/>
        <v>37.514212719841929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2129712</v>
      </c>
      <c r="M31" s="864">
        <f t="shared" si="20"/>
        <v>0</v>
      </c>
      <c r="N31" s="864">
        <f t="shared" si="20"/>
        <v>798944.69</v>
      </c>
      <c r="O31" s="864">
        <f t="shared" ca="1" si="17"/>
        <v>37.514212719841929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2129712</v>
      </c>
      <c r="M33" s="870">
        <f t="shared" si="21"/>
        <v>0</v>
      </c>
      <c r="N33" s="870">
        <f t="shared" si="21"/>
        <v>798944.69</v>
      </c>
      <c r="O33" s="870">
        <f t="shared" ca="1" si="17"/>
        <v>37.514212719841929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3941620</v>
      </c>
      <c r="M37" s="883">
        <f t="shared" ca="1" si="24"/>
        <v>3339738</v>
      </c>
      <c r="N37" s="883">
        <f t="shared" ca="1" si="24"/>
        <v>1947595.7</v>
      </c>
      <c r="O37" s="883">
        <f t="shared" ca="1" si="17"/>
        <v>49.411046726980274</v>
      </c>
      <c r="P37" s="883">
        <f t="shared" ca="1" si="18"/>
        <v>58.315822977730591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657250</v>
      </c>
      <c r="M41" s="908">
        <f t="shared" ca="1" si="25"/>
        <v>665743</v>
      </c>
      <c r="N41" s="908">
        <f t="shared" ca="1" si="25"/>
        <v>278793</v>
      </c>
      <c r="O41" s="908">
        <f t="shared" ref="O41:O49" ca="1" si="26">IF(L41&gt;0,N41*100/L41,0)</f>
        <v>42.418105743628757</v>
      </c>
      <c r="P41" s="908">
        <f t="shared" ref="P41:P49" ca="1" si="27">IF(M41&gt;0,N41*100/M41,0)</f>
        <v>41.876970542686891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657250</v>
      </c>
      <c r="M43" s="914">
        <f t="shared" ca="1" si="28"/>
        <v>665743</v>
      </c>
      <c r="N43" s="914">
        <f t="shared" ca="1" si="28"/>
        <v>278793</v>
      </c>
      <c r="O43" s="914">
        <f t="shared" ca="1" si="26"/>
        <v>42.418105743628757</v>
      </c>
      <c r="P43" s="914">
        <f t="shared" ca="1" si="27"/>
        <v>41.876970542686891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657250</v>
      </c>
      <c r="M44" s="864">
        <f t="shared" ca="1" si="29"/>
        <v>665743</v>
      </c>
      <c r="N44" s="864">
        <f t="shared" ca="1" si="29"/>
        <v>278793</v>
      </c>
      <c r="O44" s="864">
        <f t="shared" ca="1" si="26"/>
        <v>42.418105743628757</v>
      </c>
      <c r="P44" s="864">
        <f t="shared" ca="1" si="27"/>
        <v>41.876970542686891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IFERROR(__xludf.DUMMYFUNCTION("IMPORTRANGE(""https://docs.google.com/spreadsheets/d/1MeEWN-I1oV_STSDYn1IFDPWt_1FKiwhDph83XaGc0o0/edit?usp=sharing"",""งบพรบ!M43"")"),657250)</f>
        <v>657250</v>
      </c>
      <c r="M46" s="870">
        <f ca="1">IFERROR(__xludf.DUMMYFUNCTION("IMPORTRANGE(""https://docs.google.com/spreadsheets/d/1MeEWN-I1oV_STSDYn1IFDPWt_1FKiwhDph83XaGc0o0/edit?usp=sharing"",""งบพรบ!R43"")"),665743)</f>
        <v>665743</v>
      </c>
      <c r="N46" s="870">
        <f ca="1">IFERROR(__xludf.DUMMYFUNCTION("IMPORTRANGE(""https://docs.google.com/spreadsheets/d/1MeEWN-I1oV_STSDYn1IFDPWt_1FKiwhDph83XaGc0o0/edit?usp=sharing"",""งบพรบ!T43"")"),278793)</f>
        <v>278793</v>
      </c>
      <c r="O46" s="870">
        <f t="shared" ca="1" si="26"/>
        <v>42.418105743628757</v>
      </c>
      <c r="P46" s="870">
        <f t="shared" ca="1" si="27"/>
        <v>41.876970542686891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IFERROR(__xludf.DUMMYFUNCTION("IMPORTRANGE(""https://docs.google.com/spreadsheets/d/1MeEWN-I1oV_STSDYn1IFDPWt_1FKiwhDph83XaGc0o0/edit?usp=sharing"",""งบพรบ!P43"")"),0)</f>
        <v>0</v>
      </c>
      <c r="M49" s="876">
        <f ca="1">IFERROR(__xludf.DUMMYFUNCTION("IMPORTRANGE(""https://docs.google.com/spreadsheets/d/1MeEWN-I1oV_STSDYn1IFDPWt_1FKiwhDph83XaGc0o0/edit?usp=sharing"",""งบพรบ!S43"")"),0)</f>
        <v>0</v>
      </c>
      <c r="N49" s="876">
        <f ca="1">IFERROR(__xludf.DUMMYFUNCTION("IMPORTRANGE(""https://docs.google.com/spreadsheets/d/1MeEWN-I1oV_STSDYn1IFDPWt_1FKiwhDph83XaGc0o0/edit?usp=sharing"",""งบพรบ!U43"")"),0)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729400</v>
      </c>
      <c r="M53" s="936">
        <f t="shared" ca="1" si="31"/>
        <v>603670</v>
      </c>
      <c r="N53" s="936">
        <f t="shared" ca="1" si="31"/>
        <v>489295.51</v>
      </c>
      <c r="O53" s="936">
        <f t="shared" ref="O53:O61" ca="1" si="32">IF(L53&gt;0,N53*100/L53,0)</f>
        <v>67.081918014806689</v>
      </c>
      <c r="P53" s="936">
        <f t="shared" ref="P53:P61" ca="1" si="33">IF(M53&gt;0,N53*100/M53,0)</f>
        <v>81.053474580482714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729400</v>
      </c>
      <c r="M55" s="942">
        <f t="shared" ca="1" si="34"/>
        <v>603670</v>
      </c>
      <c r="N55" s="942">
        <f t="shared" ca="1" si="34"/>
        <v>489295.51</v>
      </c>
      <c r="O55" s="942">
        <f t="shared" ca="1" si="32"/>
        <v>67.081918014806689</v>
      </c>
      <c r="P55" s="942">
        <f t="shared" ca="1" si="33"/>
        <v>81.053474580482714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729400</v>
      </c>
      <c r="M56" s="864">
        <f t="shared" ca="1" si="35"/>
        <v>603670</v>
      </c>
      <c r="N56" s="864">
        <f t="shared" ca="1" si="35"/>
        <v>489295.51</v>
      </c>
      <c r="O56" s="864">
        <f t="shared" ca="1" si="32"/>
        <v>67.081918014806689</v>
      </c>
      <c r="P56" s="864">
        <f t="shared" ca="1" si="33"/>
        <v>81.053474580482714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IFERROR(__xludf.DUMMYFUNCTION("IMPORTRANGE(""https://docs.google.com/spreadsheets/d/1MeEWN-I1oV_STSDYn1IFDPWt_1FKiwhDph83XaGc0o0/edit?usp=sharing"",""งบพรบ!W43"")"),729400)</f>
        <v>729400</v>
      </c>
      <c r="M58" s="870">
        <f ca="1">IFERROR(__xludf.DUMMYFUNCTION("IMPORTRANGE(""https://docs.google.com/spreadsheets/d/1MeEWN-I1oV_STSDYn1IFDPWt_1FKiwhDph83XaGc0o0/edit?usp=sharing"",""งบพรบ!AB43"")"),603670)</f>
        <v>603670</v>
      </c>
      <c r="N58" s="870">
        <f ca="1">IFERROR(__xludf.DUMMYFUNCTION("IMPORTRANGE(""https://docs.google.com/spreadsheets/d/1MeEWN-I1oV_STSDYn1IFDPWt_1FKiwhDph83XaGc0o0/edit?usp=sharing"",""งบพรบ!AD43"")"),489295.51)</f>
        <v>489295.51</v>
      </c>
      <c r="O58" s="870">
        <f t="shared" ca="1" si="32"/>
        <v>67.081918014806689</v>
      </c>
      <c r="P58" s="870">
        <f t="shared" ca="1" si="33"/>
        <v>81.053474580482714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IFERROR(__xludf.DUMMYFUNCTION("IMPORTRANGE(""https://docs.google.com/spreadsheets/d/1MeEWN-I1oV_STSDYn1IFDPWt_1FKiwhDph83XaGc0o0/edit?usp=sharing"",""งบพรบ!Z43"")"),0)</f>
        <v>0</v>
      </c>
      <c r="M61" s="876">
        <f ca="1">IFERROR(__xludf.DUMMYFUNCTION("IMPORTRANGE(""https://docs.google.com/spreadsheets/d/1MeEWN-I1oV_STSDYn1IFDPWt_1FKiwhDph83XaGc0o0/edit?usp=sharing"",""งบพรบ!AC43"")"),0)</f>
        <v>0</v>
      </c>
      <c r="N61" s="876">
        <f ca="1">IFERROR(__xludf.DUMMYFUNCTION("IMPORTRANGE(""https://docs.google.com/spreadsheets/d/1MeEWN-I1oV_STSDYn1IFDPWt_1FKiwhDph83XaGc0o0/edit?usp=sharing"",""งบพรบ!AE43"")"),0)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IFERROR(__xludf.DUMMYFUNCTION("IMPORTRANGE(""https://docs.google.com/spreadsheets/d/1MeEWN-I1oV_STSDYn1IFDPWt_1FKiwhDph83XaGc0o0/edit?usp=sharing"",""งบพรบ!AG43"")"),0)</f>
        <v>0</v>
      </c>
      <c r="M71" s="870">
        <f ca="1">IFERROR(__xludf.DUMMYFUNCTION("IMPORTRANGE(""https://docs.google.com/spreadsheets/d/1MeEWN-I1oV_STSDYn1IFDPWt_1FKiwhDph83XaGc0o0/edit?usp=sharing"",""งบพรบ!AL43"")"),0)</f>
        <v>0</v>
      </c>
      <c r="N71" s="870">
        <f ca="1">IFERROR(__xludf.DUMMYFUNCTION("IMPORTRANGE(""https://docs.google.com/spreadsheets/d/1MeEWN-I1oV_STSDYn1IFDPWt_1FKiwhDph83XaGc0o0/edit?usp=sharing"",""งบพรบ!AN43"")"),0)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IFERROR(__xludf.DUMMYFUNCTION("IMPORTRANGE(""https://docs.google.com/spreadsheets/d/1MeEWN-I1oV_STSDYn1IFDPWt_1FKiwhDph83XaGc0o0/edit?usp=sharing"",""งบพรบ!AJ43"")"),0)</f>
        <v>0</v>
      </c>
      <c r="M74" s="870">
        <f ca="1">IFERROR(__xludf.DUMMYFUNCTION("IMPORTRANGE(""https://docs.google.com/spreadsheets/d/1MeEWN-I1oV_STSDYn1IFDPWt_1FKiwhDph83XaGc0o0/edit?usp=sharing"",""งบพรบ!AM43"")"),0)</f>
        <v>0</v>
      </c>
      <c r="N74" s="870">
        <f ca="1">IFERROR(__xludf.DUMMYFUNCTION("IMPORTRANGE(""https://docs.google.com/spreadsheets/d/1MeEWN-I1oV_STSDYn1IFDPWt_1FKiwhDph83XaGc0o0/edit?usp=sharing"",""งบพรบ!AO43"")"),0)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IFERROR(__xludf.DUMMYFUNCTION("IMPORTRANGE(""https://docs.google.com/spreadsheets/d/1QqKyyYR6Q21VydFLVH3TRQUabQu_ym0Zz7PgGX0-kHA/edit?usp=sharing"",""แผน!H43"")"),0)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IFERROR(__xludf.DUMMYFUNCTION("IMPORTRANGE(""https://docs.google.com/spreadsheets/d/1QqKyyYR6Q21VydFLVH3TRQUabQu_ym0Zz7PgGX0-kHA/edit?usp=sharing"",""แผน!I43"")"),0)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IFERROR(__xludf.DUMMYFUNCTION("IMPORTRANGE(""https://docs.google.com/spreadsheets/d/1QqKyyYR6Q21VydFLVH3TRQUabQu_ym0Zz7PgGX0-kHA/edit?usp=sharing"",""แผน!F43"")"),0)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IFERROR(__xludf.DUMMYFUNCTION("IMPORTRANGE(""https://docs.google.com/spreadsheets/d/1QqKyyYR6Q21VydFLVH3TRQUabQu_ym0Zz7PgGX0-kHA/edit?usp=sharing"",""แผน!G43"")"),0)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IFERROR(__xludf.DUMMYFUNCTION("IMPORTRANGE(""https://docs.google.com/spreadsheets/d/1QqKyyYR6Q21VydFLVH3TRQUabQu_ym0Zz7PgGX0-kHA/edit?usp=sharing"",""แผน!D43"")"),0)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IFERROR(__xludf.DUMMYFUNCTION("IMPORTRANGE(""https://docs.google.com/spreadsheets/d/1QqKyyYR6Q21VydFLVH3TRQUabQu_ym0Zz7PgGX0-kHA/edit?usp=sharing"",""แผน!E43"")"),0)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IFERROR(__xludf.DUMMYFUNCTION("IMPORTRANGE(""https://docs.google.com/spreadsheets/d/1QqKyyYR6Q21VydFLVH3TRQUabQu_ym0Zz7PgGX0-kHA/edit?usp=sharing"",""แผน!J43"")"),0)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509040</v>
      </c>
      <c r="M88" s="972">
        <f t="shared" ca="1" si="49"/>
        <v>384440</v>
      </c>
      <c r="N88" s="972">
        <f t="shared" ca="1" si="49"/>
        <v>280231.19</v>
      </c>
      <c r="O88" s="972">
        <f t="shared" ref="O88:O96" ca="1" si="50">IF(L88&gt;0,N88*100/L88,0)</f>
        <v>55.050917413169891</v>
      </c>
      <c r="P88" s="972">
        <f t="shared" ref="P88:P96" ca="1" si="51">IF(M88&gt;0,N88*100/M88,0)</f>
        <v>72.893348767037764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509040</v>
      </c>
      <c r="M90" s="870">
        <f t="shared" ca="1" si="52"/>
        <v>384440</v>
      </c>
      <c r="N90" s="870">
        <f t="shared" ca="1" si="52"/>
        <v>280231.19</v>
      </c>
      <c r="O90" s="870">
        <f t="shared" ca="1" si="50"/>
        <v>55.050917413169891</v>
      </c>
      <c r="P90" s="870">
        <f t="shared" ca="1" si="51"/>
        <v>72.893348767037764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509040</v>
      </c>
      <c r="M91" s="864">
        <f t="shared" ca="1" si="53"/>
        <v>384440</v>
      </c>
      <c r="N91" s="864">
        <f t="shared" ca="1" si="53"/>
        <v>280231.19</v>
      </c>
      <c r="O91" s="864">
        <f t="shared" ca="1" si="50"/>
        <v>55.050917413169891</v>
      </c>
      <c r="P91" s="864">
        <f t="shared" ca="1" si="51"/>
        <v>72.893348767037764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IFERROR(__xludf.DUMMYFUNCTION("IMPORTRANGE(""https://docs.google.com/spreadsheets/d/1MeEWN-I1oV_STSDYn1IFDPWt_1FKiwhDph83XaGc0o0/edit?usp=sharing"",""งบพรบ!AQ43"")"),509040)</f>
        <v>509040</v>
      </c>
      <c r="M93" s="870">
        <f ca="1">IFERROR(__xludf.DUMMYFUNCTION("IMPORTRANGE(""https://docs.google.com/spreadsheets/d/1MeEWN-I1oV_STSDYn1IFDPWt_1FKiwhDph83XaGc0o0/edit?usp=sharing"",""งบพรบ!AV43"")"),384440)</f>
        <v>384440</v>
      </c>
      <c r="N93" s="870">
        <f ca="1">IFERROR(__xludf.DUMMYFUNCTION("IMPORTRANGE(""https://docs.google.com/spreadsheets/d/1MeEWN-I1oV_STSDYn1IFDPWt_1FKiwhDph83XaGc0o0/edit?usp=sharing"",""งบพรบ!AX43"")"),280231.19)</f>
        <v>280231.19</v>
      </c>
      <c r="O93" s="870">
        <f t="shared" ca="1" si="50"/>
        <v>55.050917413169891</v>
      </c>
      <c r="P93" s="870">
        <f t="shared" ca="1" si="51"/>
        <v>72.893348767037764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IFERROR(__xludf.DUMMYFUNCTION("IMPORTRANGE(""https://docs.google.com/spreadsheets/d/1MeEWN-I1oV_STSDYn1IFDPWt_1FKiwhDph83XaGc0o0/edit?usp=sharing"",""งบพรบ!AT43"")"),0)</f>
        <v>0</v>
      </c>
      <c r="M96" s="870">
        <f ca="1">IFERROR(__xludf.DUMMYFUNCTION("IMPORTRANGE(""https://docs.google.com/spreadsheets/d/1MeEWN-I1oV_STSDYn1IFDPWt_1FKiwhDph83XaGc0o0/edit?usp=sharing"",""งบพรบ!AW43"")"),0)</f>
        <v>0</v>
      </c>
      <c r="N96" s="870">
        <f ca="1">IFERROR(__xludf.DUMMYFUNCTION("IMPORTRANGE(""https://docs.google.com/spreadsheets/d/1MeEWN-I1oV_STSDYn1IFDPWt_1FKiwhDph83XaGc0o0/edit?usp=sharing"",""งบพรบ!AY43"")"),0)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IFERROR(__xludf.DUMMYFUNCTION("IMPORTRANGE(""https://docs.google.com/spreadsheets/d/1QqKyyYR6Q21VydFLVH3TRQUabQu_ym0Zz7PgGX0-kHA/edit?usp=sharing"",""แผน!K43"")"),30)</f>
        <v>30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IFERROR(__xludf.DUMMYFUNCTION("IMPORTRANGE(""https://docs.google.com/spreadsheets/d/1QqKyyYR6Q21VydFLVH3TRQUabQu_ym0Zz7PgGX0-kHA/edit?usp=sharing"",""แผน!L43"")"),10)</f>
        <v>10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IFERROR(__xludf.DUMMYFUNCTION("IMPORTRANGE(""https://docs.google.com/spreadsheets/d/1QqKyyYR6Q21VydFLVH3TRQUabQu_ym0Zz7PgGX0-kHA/edit?usp=sharing"",""แผน!M43"")"),1)</f>
        <v>1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IFERROR(__xludf.DUMMYFUNCTION("IMPORTRANGE(""https://docs.google.com/spreadsheets/d/1QqKyyYR6Q21VydFLVH3TRQUabQu_ym0Zz7PgGX0-kHA/edit?usp=sharing"",""แผน!N43"")"),30)</f>
        <v>30</v>
      </c>
      <c r="J102" s="992">
        <v>0</v>
      </c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IFERROR(__xludf.DUMMYFUNCTION("IMPORTRANGE(""https://docs.google.com/spreadsheets/d/1QqKyyYR6Q21VydFLVH3TRQUabQu_ym0Zz7PgGX0-kHA/edit?usp=sharing"",""แผน!O43"")"),10)</f>
        <v>10</v>
      </c>
      <c r="J103" s="992">
        <v>0</v>
      </c>
      <c r="K103" s="864">
        <f t="shared" ca="1" si="56"/>
        <v>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IFERROR(__xludf.DUMMYFUNCTION("IMPORTRANGE(""https://docs.google.com/spreadsheets/d/1QqKyyYR6Q21VydFLVH3TRQUabQu_ym0Zz7PgGX0-kHA/edit?usp=sharing"",""แผน!O43"")"),10)</f>
        <v>10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IFERROR(__xludf.DUMMYFUNCTION("IMPORTRANGE(""https://docs.google.com/spreadsheets/d/1QqKyyYR6Q21VydFLVH3TRQUabQu_ym0Zz7PgGX0-kHA/edit?usp=sharing"",""แผน!P43"")"),1)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IFERROR(__xludf.DUMMYFUNCTION("IMPORTRANGE(""https://docs.google.com/spreadsheets/d/1QqKyyYR6Q21VydFLVH3TRQUabQu_ym0Zz7PgGX0-kHA/edit?usp=sharing"",""แผน!P43"")"),1)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IFERROR(__xludf.DUMMYFUNCTION("IMPORTRANGE(""https://docs.google.com/spreadsheets/d/1QqKyyYR6Q21VydFLVH3TRQUabQu_ym0Zz7PgGX0-kHA/edit?usp=sharing"",""แผน!Q43"")"),0)</f>
        <v>0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IFERROR(__xludf.DUMMYFUNCTION("IMPORTRANGE(""https://docs.google.com/spreadsheets/d/1QqKyyYR6Q21VydFLVH3TRQUabQu_ym0Zz7PgGX0-kHA/edit?usp=sharing"",""แผน!Q43"")"),0)</f>
        <v>0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IFERROR(__xludf.DUMMYFUNCTION("IMPORTRANGE(""https://docs.google.com/spreadsheets/d/1QqKyyYR6Q21VydFLVH3TRQUabQu_ym0Zz7PgGX0-kHA/edit?usp=sharing"",""แผน!R43"")"),10)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1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IFERROR(__xludf.DUMMYFUNCTION("IMPORTRANGE(""https://docs.google.com/spreadsheets/d/1QqKyyYR6Q21VydFLVH3TRQUabQu_ym0Zz7PgGX0-kHA/edit?usp=sharing"",""แผน!R43"")"),10)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IFERROR(__xludf.DUMMYFUNCTION("IMPORTRANGE(""https://docs.google.com/spreadsheets/d/1QqKyyYR6Q21VydFLVH3TRQUabQu_ym0Zz7PgGX0-kHA/edit?usp=sharing"",""แผน!R43"")"),10)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IFERROR(__xludf.DUMMYFUNCTION("IMPORTRANGE(""https://docs.google.com/spreadsheets/d/1QqKyyYR6Q21VydFLVH3TRQUabQu_ym0Zz7PgGX0-kHA/edit?usp=sharing"",""แผน!S43"")"),1)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IFERROR(__xludf.DUMMYFUNCTION("IMPORTRANGE(""https://docs.google.com/spreadsheets/d/1QqKyyYR6Q21VydFLVH3TRQUabQu_ym0Zz7PgGX0-kHA/edit?usp=sharing"",""แผน!T43"")"),0)</f>
        <v>0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IFERROR(__xludf.DUMMYFUNCTION("IMPORTRANGE(""https://docs.google.com/spreadsheets/d/1MeEWN-I1oV_STSDYn1IFDPWt_1FKiwhDph83XaGc0o0/edit?usp=sharing"",""งบพรบ!BA43"")"),0)</f>
        <v>0</v>
      </c>
      <c r="M124" s="870">
        <f ca="1">IFERROR(__xludf.DUMMYFUNCTION("IMPORTRANGE(""https://docs.google.com/spreadsheets/d/1MeEWN-I1oV_STSDYn1IFDPWt_1FKiwhDph83XaGc0o0/edit?usp=sharing"",""งบพรบ!BF43"")"),0)</f>
        <v>0</v>
      </c>
      <c r="N124" s="870">
        <f ca="1">IFERROR(__xludf.DUMMYFUNCTION("IMPORTRANGE(""https://docs.google.com/spreadsheets/d/1MeEWN-I1oV_STSDYn1IFDPWt_1FKiwhDph83XaGc0o0/edit?usp=sharing"",""งบพรบ!BH43"")"),0)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IFERROR(__xludf.DUMMYFUNCTION("IMPORTRANGE(""https://docs.google.com/spreadsheets/d/1MeEWN-I1oV_STSDYn1IFDPWt_1FKiwhDph83XaGc0o0/edit?usp=sharing"",""งบพรบ!BD43"")"),0)</f>
        <v>0</v>
      </c>
      <c r="M127" s="870">
        <f ca="1">IFERROR(__xludf.DUMMYFUNCTION("IMPORTRANGE(""https://docs.google.com/spreadsheets/d/1MeEWN-I1oV_STSDYn1IFDPWt_1FKiwhDph83XaGc0o0/edit?usp=sharing"",""งบพรบ!BG43"")"),0)</f>
        <v>0</v>
      </c>
      <c r="N127" s="870">
        <f ca="1">IFERROR(__xludf.DUMMYFUNCTION("IMPORTRANGE(""https://docs.google.com/spreadsheets/d/1MeEWN-I1oV_STSDYn1IFDPWt_1FKiwhDph83XaGc0o0/edit?usp=sharing"",""งบพรบ!BI43"")"),0)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1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10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151655</v>
      </c>
      <c r="M132" s="972">
        <f t="shared" ca="1" si="69"/>
        <v>146900</v>
      </c>
      <c r="N132" s="972">
        <f t="shared" ca="1" si="69"/>
        <v>133100</v>
      </c>
      <c r="O132" s="972">
        <f t="shared" ref="O132:O140" ca="1" si="70">IF(L132&gt;0,N132*100/L132,0)</f>
        <v>87.764992911542649</v>
      </c>
      <c r="P132" s="972">
        <f t="shared" ref="P132:P140" ca="1" si="71">IF(M132&gt;0,N132*100/M132,0)</f>
        <v>90.605854322668478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151655</v>
      </c>
      <c r="M134" s="870">
        <f t="shared" ca="1" si="72"/>
        <v>146900</v>
      </c>
      <c r="N134" s="870">
        <f t="shared" ca="1" si="72"/>
        <v>133100</v>
      </c>
      <c r="O134" s="870">
        <f t="shared" ca="1" si="70"/>
        <v>87.764992911542649</v>
      </c>
      <c r="P134" s="870">
        <f t="shared" ca="1" si="71"/>
        <v>90.605854322668478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48655</v>
      </c>
      <c r="M135" s="864">
        <f t="shared" ca="1" si="73"/>
        <v>43900</v>
      </c>
      <c r="N135" s="864">
        <f t="shared" ca="1" si="73"/>
        <v>30600</v>
      </c>
      <c r="O135" s="864">
        <f t="shared" ca="1" si="70"/>
        <v>62.891789127530572</v>
      </c>
      <c r="P135" s="864">
        <f t="shared" ca="1" si="71"/>
        <v>69.703872437357631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IFERROR(__xludf.DUMMYFUNCTION("IMPORTRANGE(""https://docs.google.com/spreadsheets/d/1MeEWN-I1oV_STSDYn1IFDPWt_1FKiwhDph83XaGc0o0/edit?usp=sharing"",""งบพรบ!BK43"")"),48655)</f>
        <v>48655</v>
      </c>
      <c r="M137" s="870">
        <f ca="1">IFERROR(__xludf.DUMMYFUNCTION("IMPORTRANGE(""https://docs.google.com/spreadsheets/d/1MeEWN-I1oV_STSDYn1IFDPWt_1FKiwhDph83XaGc0o0/edit?usp=sharing"",""งบพรบ!BP43"")"),43900)</f>
        <v>43900</v>
      </c>
      <c r="N137" s="870">
        <f ca="1">IFERROR(__xludf.DUMMYFUNCTION("IMPORTRANGE(""https://docs.google.com/spreadsheets/d/1MeEWN-I1oV_STSDYn1IFDPWt_1FKiwhDph83XaGc0o0/edit?usp=sharing"",""งบพรบ!BR43"")"),30600)</f>
        <v>30600</v>
      </c>
      <c r="O137" s="870">
        <f t="shared" ca="1" si="70"/>
        <v>62.891789127530572</v>
      </c>
      <c r="P137" s="870">
        <f t="shared" ca="1" si="71"/>
        <v>69.703872437357631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103000</v>
      </c>
      <c r="M138" s="864">
        <f t="shared" ca="1" si="74"/>
        <v>103000</v>
      </c>
      <c r="N138" s="864">
        <f t="shared" ca="1" si="74"/>
        <v>102500</v>
      </c>
      <c r="O138" s="864">
        <f t="shared" ca="1" si="70"/>
        <v>99.514563106796118</v>
      </c>
      <c r="P138" s="864">
        <f t="shared" ca="1" si="71"/>
        <v>99.514563106796118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IFERROR(__xludf.DUMMYFUNCTION("IMPORTRANGE(""https://docs.google.com/spreadsheets/d/1MeEWN-I1oV_STSDYn1IFDPWt_1FKiwhDph83XaGc0o0/edit?usp=sharing"",""งบพรบ!BN43"")"),103000)</f>
        <v>103000</v>
      </c>
      <c r="M140" s="870">
        <f ca="1">IFERROR(__xludf.DUMMYFUNCTION("IMPORTRANGE(""https://docs.google.com/spreadsheets/d/1MeEWN-I1oV_STSDYn1IFDPWt_1FKiwhDph83XaGc0o0/edit?usp=sharing"",""งบพรบ!BQ43"")"),103000)</f>
        <v>103000</v>
      </c>
      <c r="N140" s="870">
        <f ca="1">IFERROR(__xludf.DUMMYFUNCTION("IMPORTRANGE(""https://docs.google.com/spreadsheets/d/1MeEWN-I1oV_STSDYn1IFDPWt_1FKiwhDph83XaGc0o0/edit?usp=sharing"",""งบพรบ!BS43"")"),102500)</f>
        <v>102500</v>
      </c>
      <c r="O140" s="870">
        <f t="shared" ca="1" si="70"/>
        <v>99.514563106796118</v>
      </c>
      <c r="P140" s="870">
        <f t="shared" ca="1" si="71"/>
        <v>99.514563106796118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10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IFERROR(__xludf.DUMMYFUNCTION("IMPORTRANGE(""https://docs.google.com/spreadsheets/d/1QqKyyYR6Q21VydFLVH3TRQUabQu_ym0Zz7PgGX0-kHA/edit?usp=sharing"",""แผน!U43"")"),5)</f>
        <v>5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IFERROR(__xludf.DUMMYFUNCTION("IMPORTRANGE(""https://docs.google.com/spreadsheets/d/1QqKyyYR6Q21VydFLVH3TRQUabQu_ym0Zz7PgGX0-kHA/edit?usp=sharing"",""แผน!V43"")"),10)</f>
        <v>10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IFERROR(__xludf.DUMMYFUNCTION("IMPORTRANGE(""https://docs.google.com/spreadsheets/d/1QqKyyYR6Q21VydFLVH3TRQUabQu_ym0Zz7PgGX0-kHA/edit?usp=sharing"",""แผน!W43"")"),1)</f>
        <v>1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7760</v>
      </c>
      <c r="N149" s="972">
        <f t="shared" ca="1" si="77"/>
        <v>2592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33.402061855670105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7760</v>
      </c>
      <c r="N151" s="870">
        <f t="shared" ca="1" si="80"/>
        <v>2592</v>
      </c>
      <c r="O151" s="870">
        <f t="shared" ca="1" si="78"/>
        <v>0</v>
      </c>
      <c r="P151" s="870">
        <f t="shared" ca="1" si="79"/>
        <v>33.402061855670105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7760</v>
      </c>
      <c r="N152" s="864">
        <f t="shared" ca="1" si="81"/>
        <v>2592</v>
      </c>
      <c r="O152" s="864">
        <f t="shared" ca="1" si="78"/>
        <v>0</v>
      </c>
      <c r="P152" s="864">
        <f t="shared" ca="1" si="79"/>
        <v>33.402061855670105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IFERROR(__xludf.DUMMYFUNCTION("IMPORTRANGE(""https://docs.google.com/spreadsheets/d/1MeEWN-I1oV_STSDYn1IFDPWt_1FKiwhDph83XaGc0o0/edit?usp=sharing"",""งบพรบ!BU43"")"),0)</f>
        <v>0</v>
      </c>
      <c r="M154" s="870">
        <f ca="1">IFERROR(__xludf.DUMMYFUNCTION("IMPORTRANGE(""https://docs.google.com/spreadsheets/d/1MeEWN-I1oV_STSDYn1IFDPWt_1FKiwhDph83XaGc0o0/edit?usp=sharing"",""งบพรบ!BZ43"")"),7760)</f>
        <v>7760</v>
      </c>
      <c r="N154" s="870">
        <f ca="1">IFERROR(__xludf.DUMMYFUNCTION("IMPORTRANGE(""https://docs.google.com/spreadsheets/d/1MeEWN-I1oV_STSDYn1IFDPWt_1FKiwhDph83XaGc0o0/edit?usp=sharing"",""งบพรบ!CB43"")"),2592)</f>
        <v>2592</v>
      </c>
      <c r="O154" s="870">
        <f t="shared" ca="1" si="78"/>
        <v>0</v>
      </c>
      <c r="P154" s="870">
        <f t="shared" ca="1" si="79"/>
        <v>33.402061855670105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IFERROR(__xludf.DUMMYFUNCTION("IMPORTRANGE(""https://docs.google.com/spreadsheets/d/1MeEWN-I1oV_STSDYn1IFDPWt_1FKiwhDph83XaGc0o0/edit?usp=sharing"",""งบพรบ!BX43"")"),0)</f>
        <v>0</v>
      </c>
      <c r="M157" s="870">
        <f ca="1">IFERROR(__xludf.DUMMYFUNCTION("IMPORTRANGE(""https://docs.google.com/spreadsheets/d/1MeEWN-I1oV_STSDYn1IFDPWt_1FKiwhDph83XaGc0o0/edit?usp=sharing"",""งบพรบ!CA43"")"),0)</f>
        <v>0</v>
      </c>
      <c r="N157" s="870">
        <f ca="1">IFERROR(__xludf.DUMMYFUNCTION("IMPORTRANGE(""https://docs.google.com/spreadsheets/d/1MeEWN-I1oV_STSDYn1IFDPWt_1FKiwhDph83XaGc0o0/edit?usp=sharing"",""งบพรบ!CC43"")"),0)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IFERROR(__xludf.DUMMYFUNCTION("IMPORTRANGE(""https://docs.google.com/spreadsheets/d/1QqKyyYR6Q21VydFLVH3TRQUabQu_ym0Zz7PgGX0-kHA/edit?usp=sharing"",""แผน!X43"")"),0)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37295</v>
      </c>
      <c r="N165" s="972">
        <f t="shared" ca="1" si="84"/>
        <v>12910</v>
      </c>
      <c r="O165" s="972">
        <f t="shared" ref="O165:O173" ca="1" si="85">IF(L165&gt;0,N165*100/L165,0)</f>
        <v>58.535479483110407</v>
      </c>
      <c r="P165" s="972">
        <f t="shared" ref="P165:P173" ca="1" si="86">IF(M165&gt;0,N165*100/M165,0)</f>
        <v>34.615900254725837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37295</v>
      </c>
      <c r="N167" s="870">
        <f t="shared" ca="1" si="87"/>
        <v>12910</v>
      </c>
      <c r="O167" s="870">
        <f t="shared" ca="1" si="85"/>
        <v>58.535479483110407</v>
      </c>
      <c r="P167" s="870">
        <f t="shared" ca="1" si="86"/>
        <v>34.615900254725837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37295</v>
      </c>
      <c r="N168" s="864">
        <f t="shared" ca="1" si="88"/>
        <v>12910</v>
      </c>
      <c r="O168" s="864">
        <f t="shared" ca="1" si="85"/>
        <v>58.535479483110407</v>
      </c>
      <c r="P168" s="864">
        <f t="shared" ca="1" si="86"/>
        <v>34.615900254725837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IFERROR(__xludf.DUMMYFUNCTION("IMPORTRANGE(""https://docs.google.com/spreadsheets/d/1MeEWN-I1oV_STSDYn1IFDPWt_1FKiwhDph83XaGc0o0/edit?usp=sharing"",""งบพรบ!CE43"")"),22055)</f>
        <v>22055</v>
      </c>
      <c r="M170" s="870">
        <f ca="1">IFERROR(__xludf.DUMMYFUNCTION("IMPORTRANGE(""https://docs.google.com/spreadsheets/d/1MeEWN-I1oV_STSDYn1IFDPWt_1FKiwhDph83XaGc0o0/edit?usp=sharing"",""งบพรบ!CJ43"")"),37295)</f>
        <v>37295</v>
      </c>
      <c r="N170" s="870">
        <f ca="1">IFERROR(__xludf.DUMMYFUNCTION("IMPORTRANGE(""https://docs.google.com/spreadsheets/d/1MeEWN-I1oV_STSDYn1IFDPWt_1FKiwhDph83XaGc0o0/edit?usp=sharing"",""งบพรบ!CL43"")"),12910)</f>
        <v>12910</v>
      </c>
      <c r="O170" s="870">
        <f t="shared" ca="1" si="85"/>
        <v>58.535479483110407</v>
      </c>
      <c r="P170" s="870">
        <f t="shared" ca="1" si="86"/>
        <v>34.615900254725837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IFERROR(__xludf.DUMMYFUNCTION("IMPORTRANGE(""https://docs.google.com/spreadsheets/d/1MeEWN-I1oV_STSDYn1IFDPWt_1FKiwhDph83XaGc0o0/edit?usp=sharing"",""งบพรบ!CH43"")"),0)</f>
        <v>0</v>
      </c>
      <c r="M173" s="870">
        <f ca="1">IFERROR(__xludf.DUMMYFUNCTION("IMPORTRANGE(""https://docs.google.com/spreadsheets/d/1MeEWN-I1oV_STSDYn1IFDPWt_1FKiwhDph83XaGc0o0/edit?usp=sharing"",""งบพรบ!CK43"")"),0)</f>
        <v>0</v>
      </c>
      <c r="N173" s="870">
        <f ca="1">IFERROR(__xludf.DUMMYFUNCTION("IMPORTRANGE(""https://docs.google.com/spreadsheets/d/1MeEWN-I1oV_STSDYn1IFDPWt_1FKiwhDph83XaGc0o0/edit?usp=sharing"",""งบพรบ!CM43"")"),0)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IFERROR(__xludf.DUMMYFUNCTION("IMPORTRANGE(""https://docs.google.com/spreadsheets/d/1QqKyyYR6Q21VydFLVH3TRQUabQu_ym0Zz7PgGX0-kHA/edit?usp=sharing"",""แผน!Y43"")"),11)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10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116200</v>
      </c>
      <c r="M181" s="972">
        <f t="shared" ca="1" si="92"/>
        <v>81500</v>
      </c>
      <c r="N181" s="972">
        <f t="shared" ca="1" si="92"/>
        <v>58015</v>
      </c>
      <c r="O181" s="972">
        <f t="shared" ref="O181:O189" ca="1" si="93">IF(L181&gt;0,N181*100/L181,0)</f>
        <v>49.926850258175563</v>
      </c>
      <c r="P181" s="972">
        <f t="shared" ref="P181:P189" ca="1" si="94">IF(M181&gt;0,N181*100/M181,0)</f>
        <v>71.184049079754601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116200</v>
      </c>
      <c r="M183" s="870">
        <f t="shared" ca="1" si="95"/>
        <v>81500</v>
      </c>
      <c r="N183" s="870">
        <f t="shared" ca="1" si="95"/>
        <v>58015</v>
      </c>
      <c r="O183" s="870">
        <f t="shared" ca="1" si="93"/>
        <v>49.926850258175563</v>
      </c>
      <c r="P183" s="870">
        <f t="shared" ca="1" si="94"/>
        <v>71.184049079754601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116200</v>
      </c>
      <c r="M184" s="864">
        <f t="shared" ca="1" si="96"/>
        <v>81500</v>
      </c>
      <c r="N184" s="864">
        <f t="shared" ca="1" si="96"/>
        <v>58015</v>
      </c>
      <c r="O184" s="864">
        <f t="shared" ca="1" si="93"/>
        <v>49.926850258175563</v>
      </c>
      <c r="P184" s="864">
        <f t="shared" ca="1" si="94"/>
        <v>71.184049079754601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IFERROR(__xludf.DUMMYFUNCTION("IMPORTRANGE(""https://docs.google.com/spreadsheets/d/1MeEWN-I1oV_STSDYn1IFDPWt_1FKiwhDph83XaGc0o0/edit?usp=sharing"",""งบพรบ!CO43"")"),116200)</f>
        <v>116200</v>
      </c>
      <c r="M186" s="870">
        <f ca="1">IFERROR(__xludf.DUMMYFUNCTION("IMPORTRANGE(""https://docs.google.com/spreadsheets/d/1MeEWN-I1oV_STSDYn1IFDPWt_1FKiwhDph83XaGc0o0/edit?usp=sharing"",""งบพรบ!CT43"")"),81500)</f>
        <v>81500</v>
      </c>
      <c r="N186" s="870">
        <f ca="1">IFERROR(__xludf.DUMMYFUNCTION("IMPORTRANGE(""https://docs.google.com/spreadsheets/d/1MeEWN-I1oV_STSDYn1IFDPWt_1FKiwhDph83XaGc0o0/edit?usp=sharing"",""งบพรบ!CV43"")"),58015)</f>
        <v>58015</v>
      </c>
      <c r="O186" s="870">
        <f t="shared" ca="1" si="93"/>
        <v>49.926850258175563</v>
      </c>
      <c r="P186" s="870">
        <f t="shared" ca="1" si="94"/>
        <v>71.184049079754601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IFERROR(__xludf.DUMMYFUNCTION("IMPORTRANGE(""https://docs.google.com/spreadsheets/d/1MeEWN-I1oV_STSDYn1IFDPWt_1FKiwhDph83XaGc0o0/edit?usp=sharing"",""งบพรบ!CR43"")"),0)</f>
        <v>0</v>
      </c>
      <c r="M189" s="870">
        <f ca="1">IFERROR(__xludf.DUMMYFUNCTION("IMPORTRANGE(""https://docs.google.com/spreadsheets/d/1MeEWN-I1oV_STSDYn1IFDPWt_1FKiwhDph83XaGc0o0/edit?usp=sharing"",""งบพรบ!CU43"")"),0)</f>
        <v>0</v>
      </c>
      <c r="N189" s="870">
        <f ca="1">IFERROR(__xludf.DUMMYFUNCTION("IMPORTRANGE(""https://docs.google.com/spreadsheets/d/1MeEWN-I1oV_STSDYn1IFDPWt_1FKiwhDph83XaGc0o0/edit?usp=sharing"",""งบพรบ!CW43"")"),0)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IFERROR(__xludf.DUMMYFUNCTION("IMPORTRANGE(""https://docs.google.com/spreadsheets/d/1QqKyyYR6Q21VydFLVH3TRQUabQu_ym0Zz7PgGX0-kHA/edit?usp=sharing"",""แผน!Z43"")"),6000)</f>
        <v>6000</v>
      </c>
      <c r="M191" s="972"/>
      <c r="N191" s="1060">
        <v>500</v>
      </c>
      <c r="O191" s="972">
        <f ca="1">IF(L191&gt;0,N191*100/L191,0)</f>
        <v>8.3333333333333339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IFERROR(__xludf.DUMMYFUNCTION("IMPORTRANGE(""https://docs.google.com/spreadsheets/d/1QqKyyYR6Q21VydFLVH3TRQUabQu_ym0Zz7PgGX0-kHA/edit?usp=sharing"",""แผน!AC43"")"),4)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68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68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2</v>
      </c>
      <c r="J197" s="1057">
        <f t="shared" si="99"/>
        <v>2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31000</v>
      </c>
      <c r="M198" s="972"/>
      <c r="N198" s="972">
        <f>N199+N200+N201+N202</f>
        <v>18000</v>
      </c>
      <c r="O198" s="972">
        <f ca="1">IF(L198&gt;0,N198*100/L198,0)</f>
        <v>58.064516129032256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IFERROR(__xludf.DUMMYFUNCTION("IMPORTRANGE(""https://docs.google.com/spreadsheets/d/1QqKyyYR6Q21VydFLVH3TRQUabQu_ym0Zz7PgGX0-kHA/edit?usp=sharing"",""แผน!AE43"")"),2000)</f>
        <v>2000</v>
      </c>
      <c r="M199" s="864"/>
      <c r="N199" s="1064">
        <v>2000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IFERROR(__xludf.DUMMYFUNCTION("IMPORTRANGE(""https://docs.google.com/spreadsheets/d/1QqKyyYR6Q21VydFLVH3TRQUabQu_ym0Zz7PgGX0-kHA/edit?usp=sharing"",""แผน!AF43"")"),16000)</f>
        <v>16000</v>
      </c>
      <c r="M200" s="864"/>
      <c r="N200" s="1064">
        <v>16000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IFERROR(__xludf.DUMMYFUNCTION("IMPORTRANGE(""https://docs.google.com/spreadsheets/d/1QqKyyYR6Q21VydFLVH3TRQUabQu_ym0Zz7PgGX0-kHA/edit?usp=sharing"",""แผน!AG43"")"),8000)</f>
        <v>8000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IFERROR(__xludf.DUMMYFUNCTION("IMPORTRANGE(""https://docs.google.com/spreadsheets/d/1QqKyyYR6Q21VydFLVH3TRQUabQu_ym0Zz7PgGX0-kHA/edit?usp=sharing"",""แผน!AH43"")"),5000)</f>
        <v>5000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IFERROR(__xludf.DUMMYFUNCTION("IMPORTRANGE(""https://docs.google.com/spreadsheets/d/1QqKyyYR6Q21VydFLVH3TRQUabQu_ym0Zz7PgGX0-kHA/edit?usp=sharing"",""แผน!AI43"")"),2)</f>
        <v>2</v>
      </c>
      <c r="J204" s="992">
        <v>2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2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1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2</v>
      </c>
      <c r="J208" s="1057">
        <f t="shared" si="101"/>
        <v>2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28000</v>
      </c>
      <c r="M209" s="972"/>
      <c r="N209" s="972">
        <f>N210+N211+N212</f>
        <v>17460</v>
      </c>
      <c r="O209" s="972">
        <f ca="1">IF(L209&gt;0,N209*100/L209,0)</f>
        <v>62.357142857142854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IFERROR(__xludf.DUMMYFUNCTION("IMPORTRANGE(""https://docs.google.com/spreadsheets/d/1QqKyyYR6Q21VydFLVH3TRQUabQu_ym0Zz7PgGX0-kHA/edit?usp=sharing"",""แผน!AK43"")"),2000)</f>
        <v>2000</v>
      </c>
      <c r="M210" s="864"/>
      <c r="N210" s="1064">
        <v>1460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IFERROR(__xludf.DUMMYFUNCTION("IMPORTRANGE(""https://docs.google.com/spreadsheets/d/1QqKyyYR6Q21VydFLVH3TRQUabQu_ym0Zz7PgGX0-kHA/edit?usp=sharing"",""แผน!AL43"")"),10000)</f>
        <v>10000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IFERROR(__xludf.DUMMYFUNCTION("IMPORTRANGE(""https://docs.google.com/spreadsheets/d/1QqKyyYR6Q21VydFLVH3TRQUabQu_ym0Zz7PgGX0-kHA/edit?usp=sharing"",""แผน!AM43"")"),16000)</f>
        <v>16000</v>
      </c>
      <c r="M212" s="864"/>
      <c r="N212" s="1064">
        <v>16000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IFERROR(__xludf.DUMMYFUNCTION("IMPORTRANGE(""https://docs.google.com/spreadsheets/d/1QqKyyYR6Q21VydFLVH3TRQUabQu_ym0Zz7PgGX0-kHA/edit?usp=sharing"",""แผน!AN43"")"),2)</f>
        <v>2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IFERROR(__xludf.DUMMYFUNCTION("IMPORTRANGE(""https://docs.google.com/spreadsheets/d/1QqKyyYR6Q21VydFLVH3TRQUabQu_ym0Zz7PgGX0-kHA/edit?usp=sharing"",""แผน!AN43"")"),2)</f>
        <v>2</v>
      </c>
      <c r="J215" s="992">
        <v>2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128000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51200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IFERROR(__xludf.DUMMYFUNCTION("IMPORTRANGE(""https://docs.google.com/spreadsheets/d/1QqKyyYR6Q21VydFLVH3TRQUabQu_ym0Zz7PgGX0-kHA/edit?usp=sharing"",""แผน!AP43"")"),8000)</f>
        <v>8000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IFERROR(__xludf.DUMMYFUNCTION("IMPORTRANGE(""https://docs.google.com/spreadsheets/d/1QqKyyYR6Q21VydFLVH3TRQUabQu_ym0Zz7PgGX0-kHA/edit?usp=sharing"",""แผน!AQ43"")"),33200)</f>
        <v>33200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IFERROR(__xludf.DUMMYFUNCTION("IMPORTRANGE(""https://docs.google.com/spreadsheets/d/1QqKyyYR6Q21VydFLVH3TRQUabQu_ym0Zz7PgGX0-kHA/edit?usp=sharing"",""แผน!AR43"")"),10000)</f>
        <v>10000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IFERROR(__xludf.DUMMYFUNCTION("IMPORTRANGE(""https://docs.google.com/spreadsheets/d/1QqKyyYR6Q21VydFLVH3TRQUabQu_ym0Zz7PgGX0-kHA/edit?usp=sharing"",""แผน!AT43"")"),128000)</f>
        <v>128000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IFERROR(__xludf.DUMMYFUNCTION("IMPORTRANGE(""https://docs.google.com/spreadsheets/d/1QqKyyYR6Q21VydFLVH3TRQUabQu_ym0Zz7PgGX0-kHA/edit?usp=sharing"",""แผน!AT43"")"),128000)</f>
        <v>128000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IFERROR(__xludf.DUMMYFUNCTION("IMPORTRANGE(""https://docs.google.com/spreadsheets/d/1QqKyyYR6Q21VydFLVH3TRQUabQu_ym0Zz7PgGX0-kHA/edit?usp=sharing"",""แผน!AS43"")"),10)</f>
        <v>10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IFERROR(__xludf.DUMMYFUNCTION("IMPORTRANGE(""https://docs.google.com/spreadsheets/d/1QqKyyYR6Q21VydFLVH3TRQUabQu_ym0Zz7PgGX0-kHA/edit?usp=sharing"",""แผน!AV43"")"),0)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IFERROR(__xludf.DUMMYFUNCTION("IMPORTRANGE(""https://docs.google.com/spreadsheets/d/1QqKyyYR6Q21VydFLVH3TRQUabQu_ym0Zz7PgGX0-kHA/edit?usp=sharing"",""แผน!AW43"")"),0)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IFERROR(__xludf.DUMMYFUNCTION("IMPORTRANGE(""https://docs.google.com/spreadsheets/d/1QqKyyYR6Q21VydFLVH3TRQUabQu_ym0Zz7PgGX0-kHA/edit?usp=sharing"",""แผน!AX43"")"),0)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IFERROR(__xludf.DUMMYFUNCTION("IMPORTRANGE(""https://docs.google.com/spreadsheets/d/1QqKyyYR6Q21VydFLVH3TRQUabQu_ym0Zz7PgGX0-kHA/edit?usp=sharing"",""แผน!AY43"")"),0)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IFERROR(__xludf.DUMMYFUNCTION("IMPORTRANGE(""https://docs.google.com/spreadsheets/d/1QqKyyYR6Q21VydFLVH3TRQUabQu_ym0Zz7PgGX0-kHA/edit?usp=sharing"",""แผน!BE43"")"),0)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IFERROR(__xludf.DUMMYFUNCTION("IMPORTRANGE(""https://docs.google.com/spreadsheets/d/1QqKyyYR6Q21VydFLVH3TRQUabQu_ym0Zz7PgGX0-kHA/edit?usp=sharing"",""แผน!AZ43"")"),0)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IFERROR(__xludf.DUMMYFUNCTION("IMPORTRANGE(""https://docs.google.com/spreadsheets/d/1QqKyyYR6Q21VydFLVH3TRQUabQu_ym0Zz7PgGX0-kHA/edit?usp=sharing"",""แผน!BA43"")"),0)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IFERROR(__xludf.DUMMYFUNCTION("IMPORTRANGE(""https://docs.google.com/spreadsheets/d/1QqKyyYR6Q21VydFLVH3TRQUabQu_ym0Zz7PgGX0-kHA/edit?usp=sharing"",""แผน!BB43"")"),0)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IFERROR(__xludf.DUMMYFUNCTION("IMPORTRANGE(""https://docs.google.com/spreadsheets/d/1QqKyyYR6Q21VydFLVH3TRQUabQu_ym0Zz7PgGX0-kHA/edit?usp=sharing"",""แผน!BC43"")"),0)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IFERROR(__xludf.DUMMYFUNCTION("IMPORTRANGE(""https://docs.google.com/spreadsheets/d/1QqKyyYR6Q21VydFLVH3TRQUabQu_ym0Zz7PgGX0-kHA/edit?usp=sharing"",""แผน!BF43"")"),0)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23466</v>
      </c>
      <c r="O261" s="972">
        <f t="shared" ref="O261:O269" ca="1" si="117">IF(L261&gt;0,N261*100/L261,0)</f>
        <v>87.234200743494426</v>
      </c>
      <c r="P261" s="972">
        <f t="shared" ref="P261:P269" ca="1" si="118">IF(M261&gt;0,N261*100/M261,0)</f>
        <v>98.18410041841004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23466</v>
      </c>
      <c r="O263" s="870">
        <f t="shared" ca="1" si="117"/>
        <v>87.234200743494426</v>
      </c>
      <c r="P263" s="870">
        <f t="shared" ca="1" si="118"/>
        <v>98.18410041841004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23466</v>
      </c>
      <c r="O264" s="864">
        <f t="shared" ca="1" si="117"/>
        <v>87.234200743494426</v>
      </c>
      <c r="P264" s="864">
        <f t="shared" ca="1" si="118"/>
        <v>98.18410041841004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IFERROR(__xludf.DUMMYFUNCTION("IMPORTRANGE(""https://docs.google.com/spreadsheets/d/1MeEWN-I1oV_STSDYn1IFDPWt_1FKiwhDph83XaGc0o0/edit?usp=sharing"",""งบพรบ!CY43"")"),26900)</f>
        <v>26900</v>
      </c>
      <c r="M266" s="870">
        <f ca="1">IFERROR(__xludf.DUMMYFUNCTION("IMPORTRANGE(""https://docs.google.com/spreadsheets/d/1MeEWN-I1oV_STSDYn1IFDPWt_1FKiwhDph83XaGc0o0/edit?usp=sharing"",""งบพรบ!DD43"")"),23900)</f>
        <v>23900</v>
      </c>
      <c r="N266" s="870">
        <f ca="1">IFERROR(__xludf.DUMMYFUNCTION("IMPORTRANGE(""https://docs.google.com/spreadsheets/d/1MeEWN-I1oV_STSDYn1IFDPWt_1FKiwhDph83XaGc0o0/edit?usp=sharing"",""งบพรบ!DF43"")"),23466)</f>
        <v>23466</v>
      </c>
      <c r="O266" s="870">
        <f t="shared" ca="1" si="117"/>
        <v>87.234200743494426</v>
      </c>
      <c r="P266" s="870">
        <f t="shared" ca="1" si="118"/>
        <v>98.18410041841004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IFERROR(__xludf.DUMMYFUNCTION("IMPORTRANGE(""https://docs.google.com/spreadsheets/d/1MeEWN-I1oV_STSDYn1IFDPWt_1FKiwhDph83XaGc0o0/edit?usp=sharing"",""งบพรบ!DB43"")"),0)</f>
        <v>0</v>
      </c>
      <c r="M269" s="870">
        <f ca="1">IFERROR(__xludf.DUMMYFUNCTION("IMPORTRANGE(""https://docs.google.com/spreadsheets/d/1MeEWN-I1oV_STSDYn1IFDPWt_1FKiwhDph83XaGc0o0/edit?usp=sharing"",""งบพรบ!DE43"")"),0)</f>
        <v>0</v>
      </c>
      <c r="N269" s="870">
        <f ca="1">IFERROR(__xludf.DUMMYFUNCTION("IMPORTRANGE(""https://docs.google.com/spreadsheets/d/1MeEWN-I1oV_STSDYn1IFDPWt_1FKiwhDph83XaGc0o0/edit?usp=sharing"",""งบพรบ!DG43"")"),0)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IFERROR(__xludf.DUMMYFUNCTION("IMPORTRANGE(""https://docs.google.com/spreadsheets/d/1QqKyyYR6Q21VydFLVH3TRQUabQu_ym0Zz7PgGX0-kHA/edit?usp=sharing"",""แผน!EA43"")"),22)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20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200</v>
      </c>
      <c r="J276" s="1141">
        <f t="shared" si="124"/>
        <v>200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75640</v>
      </c>
      <c r="M277" s="972">
        <f t="shared" ca="1" si="125"/>
        <v>37520</v>
      </c>
      <c r="N277" s="972">
        <f t="shared" ca="1" si="125"/>
        <v>34970</v>
      </c>
      <c r="O277" s="972">
        <f t="shared" ref="O277:O285" ca="1" si="126">IF(L277&gt;0,N277*100/L277,0)</f>
        <v>46.232152300370174</v>
      </c>
      <c r="P277" s="972">
        <f t="shared" ref="P277:P285" ca="1" si="127">IF(M277&gt;0,N277*100/M277,0)</f>
        <v>93.203624733475479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75640</v>
      </c>
      <c r="M279" s="870">
        <f t="shared" ca="1" si="128"/>
        <v>37520</v>
      </c>
      <c r="N279" s="870">
        <f t="shared" ca="1" si="128"/>
        <v>34970</v>
      </c>
      <c r="O279" s="870">
        <f t="shared" ca="1" si="126"/>
        <v>46.232152300370174</v>
      </c>
      <c r="P279" s="870">
        <f t="shared" ca="1" si="127"/>
        <v>93.203624733475479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75640</v>
      </c>
      <c r="M280" s="864">
        <f t="shared" ca="1" si="129"/>
        <v>37520</v>
      </c>
      <c r="N280" s="864">
        <f t="shared" ca="1" si="129"/>
        <v>34970</v>
      </c>
      <c r="O280" s="864">
        <f t="shared" ca="1" si="126"/>
        <v>46.232152300370174</v>
      </c>
      <c r="P280" s="864">
        <f t="shared" ca="1" si="127"/>
        <v>93.203624733475479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IFERROR(__xludf.DUMMYFUNCTION("IMPORTRANGE(""https://docs.google.com/spreadsheets/d/1MeEWN-I1oV_STSDYn1IFDPWt_1FKiwhDph83XaGc0o0/edit?usp=sharing"",""งบพรบ!DI43"")"),75640)</f>
        <v>75640</v>
      </c>
      <c r="M282" s="870">
        <f ca="1">IFERROR(__xludf.DUMMYFUNCTION("IMPORTRANGE(""https://docs.google.com/spreadsheets/d/1MeEWN-I1oV_STSDYn1IFDPWt_1FKiwhDph83XaGc0o0/edit?usp=sharing"",""งบพรบ!DN43"")"),37520)</f>
        <v>37520</v>
      </c>
      <c r="N282" s="870">
        <f ca="1">IFERROR(__xludf.DUMMYFUNCTION("IMPORTRANGE(""https://docs.google.com/spreadsheets/d/1MeEWN-I1oV_STSDYn1IFDPWt_1FKiwhDph83XaGc0o0/edit?usp=sharing"",""งบพรบ!DP43"")"),34970)</f>
        <v>34970</v>
      </c>
      <c r="O282" s="870">
        <f t="shared" ca="1" si="126"/>
        <v>46.232152300370174</v>
      </c>
      <c r="P282" s="870">
        <f t="shared" ca="1" si="127"/>
        <v>93.203624733475479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IFERROR(__xludf.DUMMYFUNCTION("IMPORTRANGE(""https://docs.google.com/spreadsheets/d/1MeEWN-I1oV_STSDYn1IFDPWt_1FKiwhDph83XaGc0o0/edit?usp=sharing"",""งบพรบ!DL43"")"),0)</f>
        <v>0</v>
      </c>
      <c r="M285" s="870">
        <f ca="1">IFERROR(__xludf.DUMMYFUNCTION("IMPORTRANGE(""https://docs.google.com/spreadsheets/d/1MeEWN-I1oV_STSDYn1IFDPWt_1FKiwhDph83XaGc0o0/edit?usp=sharing"",""งบพรบ!DO43"")"),0)</f>
        <v>0</v>
      </c>
      <c r="N285" s="870">
        <f ca="1">IFERROR(__xludf.DUMMYFUNCTION("IMPORTRANGE(""https://docs.google.com/spreadsheets/d/1MeEWN-I1oV_STSDYn1IFDPWt_1FKiwhDph83XaGc0o0/edit?usp=sharing"",""งบพรบ!DQ43"")"),0)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IFERROR(__xludf.DUMMYFUNCTION("IMPORTRANGE(""https://docs.google.com/spreadsheets/d/1QqKyyYR6Q21VydFLVH3TRQUabQu_ym0Zz7PgGX0-kHA/edit?usp=sharing"",""แผน!EC43"")"),200)</f>
        <v>200</v>
      </c>
      <c r="J287" s="992">
        <v>200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IFERROR(__xludf.DUMMYFUNCTION("IMPORTRANGE(""https://docs.google.com/spreadsheets/d/1QqKyyYR6Q21VydFLVH3TRQUabQu_ym0Zz7PgGX0-kHA/edit?usp=sharing"",""แผน!EB43"")"),20)</f>
        <v>20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IFERROR(__xludf.DUMMYFUNCTION("IMPORTRANGE(""https://docs.google.com/spreadsheets/d/1QqKyyYR6Q21VydFLVH3TRQUabQu_ym0Zz7PgGX0-kHA/edit?usp=sharing"",""แผน!EB43"")"),20)</f>
        <v>20</v>
      </c>
      <c r="J290" s="992">
        <v>20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IFERROR(__xludf.DUMMYFUNCTION("IMPORTRANGE(""https://docs.google.com/spreadsheets/d/1QqKyyYR6Q21VydFLVH3TRQUabQu_ym0Zz7PgGX0-kHA/edit?usp=sharing"",""แผน!EB43"")"),20)</f>
        <v>20</v>
      </c>
      <c r="J291" s="992">
        <v>20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IFERROR(__xludf.DUMMYFUNCTION("IMPORTRANGE(""https://docs.google.com/spreadsheets/d/1QqKyyYR6Q21VydFLVH3TRQUabQu_ym0Zz7PgGX0-kHA/edit?usp=sharing"",""แผน!EB43"")"),20)</f>
        <v>20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IFERROR(__xludf.DUMMYFUNCTION("IMPORTRANGE(""https://docs.google.com/spreadsheets/d/1QqKyyYR6Q21VydFLVH3TRQUabQu_ym0Zz7PgGX0-kHA/edit?usp=sharing"",""แผน!EB43"")"),20)</f>
        <v>20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IFERROR(__xludf.DUMMYFUNCTION("IMPORTRANGE(""https://docs.google.com/spreadsheets/d/1MeEWN-I1oV_STSDYn1IFDPWt_1FKiwhDph83XaGc0o0/edit?usp=sharing"",""งบพรบ!DS43"")"),0)</f>
        <v>0</v>
      </c>
      <c r="M303" s="870">
        <f ca="1">IFERROR(__xludf.DUMMYFUNCTION("IMPORTRANGE(""https://docs.google.com/spreadsheets/d/1MeEWN-I1oV_STSDYn1IFDPWt_1FKiwhDph83XaGc0o0/edit?usp=sharing"",""งบพรบ!DX43"")"),0)</f>
        <v>0</v>
      </c>
      <c r="N303" s="870">
        <f ca="1">IFERROR(__xludf.DUMMYFUNCTION("IMPORTRANGE(""https://docs.google.com/spreadsheets/d/1MeEWN-I1oV_STSDYn1IFDPWt_1FKiwhDph83XaGc0o0/edit?usp=sharing"",""งบพรบ!DZ43"")"),0)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IFERROR(__xludf.DUMMYFUNCTION("IMPORTRANGE(""https://docs.google.com/spreadsheets/d/1MeEWN-I1oV_STSDYn1IFDPWt_1FKiwhDph83XaGc0o0/edit?usp=sharing"",""งบพรบ!DV43"")"),0)</f>
        <v>0</v>
      </c>
      <c r="M306" s="870">
        <f ca="1">IFERROR(__xludf.DUMMYFUNCTION("IMPORTRANGE(""https://docs.google.com/spreadsheets/d/1MeEWN-I1oV_STSDYn1IFDPWt_1FKiwhDph83XaGc0o0/edit?usp=sharing"",""งบพรบ!DY43"")"),0)</f>
        <v>0</v>
      </c>
      <c r="N306" s="870">
        <f ca="1">IFERROR(__xludf.DUMMYFUNCTION("IMPORTRANGE(""https://docs.google.com/spreadsheets/d/1MeEWN-I1oV_STSDYn1IFDPWt_1FKiwhDph83XaGc0o0/edit?usp=sharing"",""งบพรบ!EA43"")"),0)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IFERROR(__xludf.DUMMYFUNCTION("IMPORTRANGE(""https://docs.google.com/spreadsheets/d/1QqKyyYR6Q21VydFLVH3TRQUabQu_ym0Zz7PgGX0-kHA/edit?usp=sharing"",""แผน!ED43"")"),0)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IFERROR(__xludf.DUMMYFUNCTION("IMPORTRANGE(""https://docs.google.com/spreadsheets/d/1QqKyyYR6Q21VydFLVH3TRQUabQu_ym0Zz7PgGX0-kHA/edit?usp=sharing"",""แผน!ED43"")"),0)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IFERROR(__xludf.DUMMYFUNCTION("IMPORTRANGE(""https://docs.google.com/spreadsheets/d/1QqKyyYR6Q21VydFLVH3TRQUabQu_ym0Zz7PgGX0-kHA/edit?usp=sharing"",""แผน!ED43"")"),0)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IFERROR(__xludf.DUMMYFUNCTION("IMPORTRANGE(""https://docs.google.com/spreadsheets/d/1QqKyyYR6Q21VydFLVH3TRQUabQu_ym0Zz7PgGX0-kHA/edit?usp=sharing"",""แผน!EE43"")"),0)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IFERROR(__xludf.DUMMYFUNCTION("IMPORTRANGE(""https://docs.google.com/spreadsheets/d/1MeEWN-I1oV_STSDYn1IFDPWt_1FKiwhDph83XaGc0o0/edit?usp=sharing"",""งบพรบ!EC43"")"),0)</f>
        <v>0</v>
      </c>
      <c r="M320" s="870">
        <f ca="1">IFERROR(__xludf.DUMMYFUNCTION("IMPORTRANGE(""https://docs.google.com/spreadsheets/d/1MeEWN-I1oV_STSDYn1IFDPWt_1FKiwhDph83XaGc0o0/edit?usp=sharing"",""งบพรบ!EH43"")"),0)</f>
        <v>0</v>
      </c>
      <c r="N320" s="870">
        <f ca="1">IFERROR(__xludf.DUMMYFUNCTION("IMPORTRANGE(""https://docs.google.com/spreadsheets/d/1MeEWN-I1oV_STSDYn1IFDPWt_1FKiwhDph83XaGc0o0/edit?usp=sharing"",""งบพรบ!EJ43"")"),0)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IFERROR(__xludf.DUMMYFUNCTION("IMPORTRANGE(""https://docs.google.com/spreadsheets/d/1MeEWN-I1oV_STSDYn1IFDPWt_1FKiwhDph83XaGc0o0/edit?usp=sharing"",""งบพรบ!EF43"")"),0)</f>
        <v>0</v>
      </c>
      <c r="M323" s="870">
        <f ca="1">IFERROR(__xludf.DUMMYFUNCTION("IMPORTRANGE(""https://docs.google.com/spreadsheets/d/1MeEWN-I1oV_STSDYn1IFDPWt_1FKiwhDph83XaGc0o0/edit?usp=sharing"",""งบพรบ!EI43"")"),0)</f>
        <v>0</v>
      </c>
      <c r="N323" s="870">
        <f ca="1">IFERROR(__xludf.DUMMYFUNCTION("IMPORTRANGE(""https://docs.google.com/spreadsheets/d/1MeEWN-I1oV_STSDYn1IFDPWt_1FKiwhDph83XaGc0o0/edit?usp=sharing"",""งบพรบ!EK43"")"),0)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IFERROR(__xludf.DUMMYFUNCTION("IMPORTRANGE(""https://docs.google.com/spreadsheets/d/1QqKyyYR6Q21VydFLVH3TRQUabQu_ym0Zz7PgGX0-kHA/edit?usp=sharing"",""แผน!EF43"")"),0)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IFERROR(__xludf.DUMMYFUNCTION("IMPORTRANGE(""https://docs.google.com/spreadsheets/d/1QqKyyYR6Q21VydFLVH3TRQUabQu_ym0Zz7PgGX0-kHA/edit?usp=sharing"",""แผน!EG43"")"),3800)</f>
        <v>3800</v>
      </c>
      <c r="J327" s="1170">
        <f ca="1">J338+J341+J342+J343</f>
        <v>2605</v>
      </c>
      <c r="K327" s="1171">
        <f ca="1">IF(I327&gt;0,J327*100/I327,0)</f>
        <v>68.55263157894737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177000</v>
      </c>
      <c r="M328" s="972">
        <f t="shared" ca="1" si="149"/>
        <v>135250</v>
      </c>
      <c r="N328" s="972">
        <f t="shared" ca="1" si="149"/>
        <v>65947</v>
      </c>
      <c r="O328" s="972">
        <f t="shared" ref="O328:O336" ca="1" si="150">IF(L328&gt;0,N328*100/L328,0)</f>
        <v>37.258192090395482</v>
      </c>
      <c r="P328" s="972">
        <f t="shared" ref="P328:P336" ca="1" si="151">IF(M328&gt;0,N328*100/M328,0)</f>
        <v>48.759334565619227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177000</v>
      </c>
      <c r="M330" s="870">
        <f t="shared" ca="1" si="152"/>
        <v>135250</v>
      </c>
      <c r="N330" s="870">
        <f t="shared" ca="1" si="152"/>
        <v>65947</v>
      </c>
      <c r="O330" s="870">
        <f t="shared" ca="1" si="150"/>
        <v>37.258192090395482</v>
      </c>
      <c r="P330" s="870">
        <f t="shared" ca="1" si="151"/>
        <v>48.759334565619227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177000</v>
      </c>
      <c r="M331" s="864">
        <f t="shared" ca="1" si="153"/>
        <v>135250</v>
      </c>
      <c r="N331" s="864">
        <f t="shared" ca="1" si="153"/>
        <v>65947</v>
      </c>
      <c r="O331" s="864">
        <f t="shared" ca="1" si="150"/>
        <v>37.258192090395482</v>
      </c>
      <c r="P331" s="864">
        <f t="shared" ca="1" si="151"/>
        <v>48.759334565619227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IFERROR(__xludf.DUMMYFUNCTION("IMPORTRANGE(""https://docs.google.com/spreadsheets/d/1MeEWN-I1oV_STSDYn1IFDPWt_1FKiwhDph83XaGc0o0/edit?usp=sharing"",""งบพรบ!EM43"")"),177000)</f>
        <v>177000</v>
      </c>
      <c r="M333" s="870">
        <f ca="1">IFERROR(__xludf.DUMMYFUNCTION("IMPORTRANGE(""https://docs.google.com/spreadsheets/d/1MeEWN-I1oV_STSDYn1IFDPWt_1FKiwhDph83XaGc0o0/edit?usp=sharing"",""งบพรบ!ER43"")"),135250)</f>
        <v>135250</v>
      </c>
      <c r="N333" s="870">
        <f ca="1">IFERROR(__xludf.DUMMYFUNCTION("IMPORTRANGE(""https://docs.google.com/spreadsheets/d/1MeEWN-I1oV_STSDYn1IFDPWt_1FKiwhDph83XaGc0o0/edit?usp=sharing"",""งบพรบ!ET43"")"),65947)</f>
        <v>65947</v>
      </c>
      <c r="O333" s="870">
        <f t="shared" ca="1" si="150"/>
        <v>37.258192090395482</v>
      </c>
      <c r="P333" s="870">
        <f t="shared" ca="1" si="151"/>
        <v>48.759334565619227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IFERROR(__xludf.DUMMYFUNCTION("IMPORTRANGE(""https://docs.google.com/spreadsheets/d/1MeEWN-I1oV_STSDYn1IFDPWt_1FKiwhDph83XaGc0o0/edit?usp=sharing"",""งบพรบ!EP43"")"),0)</f>
        <v>0</v>
      </c>
      <c r="M336" s="870">
        <f ca="1">IFERROR(__xludf.DUMMYFUNCTION("IMPORTRANGE(""https://docs.google.com/spreadsheets/d/1MeEWN-I1oV_STSDYn1IFDPWt_1FKiwhDph83XaGc0o0/edit?usp=sharing"",""งบพรบ!ES43"")"),0)</f>
        <v>0</v>
      </c>
      <c r="N336" s="870">
        <f ca="1">IFERROR(__xludf.DUMMYFUNCTION("IMPORTRANGE(""https://docs.google.com/spreadsheets/d/1MeEWN-I1oV_STSDYn1IFDPWt_1FKiwhDph83XaGc0o0/edit?usp=sharing"",""งบพรบ!EU43"")"),0)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IFERROR(__xludf.DUMMYFUNCTION("IMPORTRANGE(""https://docs.google.com/spreadsheets/d/1QqKyyYR6Q21VydFLVH3TRQUabQu_ym0Zz7PgGX0-kHA/edit?usp=sharing"",""แผน!EG43"")"),3800)</f>
        <v>3800</v>
      </c>
      <c r="J338" s="863">
        <f ca="1">IFERROR(__xludf.DUMMYFUNCTION("IMPORTRANGE(""https://docs.google.com/spreadsheets/d/1kVcqe37tkHyjCSG3S0O1AXqVkqjo8mSIZil3BcpIysc/edit?usp=sharing"",""ศูนย์!D43"")"),2183)</f>
        <v>2183</v>
      </c>
      <c r="K338" s="864">
        <f ca="1">IF(I338&gt;0,J338*100/I338,0)</f>
        <v>57.44736842105263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IFERROR(__xludf.DUMMYFUNCTION("IMPORTRANGE(""https://docs.google.com/spreadsheets/d/1QqKyyYR6Q21VydFLVH3TRQUabQu_ym0Zz7PgGX0-kHA/edit?usp=sharing"",""แผน!EH43"")"),7)</f>
        <v>7</v>
      </c>
      <c r="J340" s="863">
        <f ca="1">IFERROR(__xludf.DUMMYFUNCTION("IMPORTRANGE(""https://docs.google.com/spreadsheets/d/1kVcqe37tkHyjCSG3S0O1AXqVkqjo8mSIZil3BcpIysc/edit?usp=sharing"",""ศูนย์!E43"")"),4)</f>
        <v>4</v>
      </c>
      <c r="K340" s="864">
        <f ca="1">IF(I340&gt;0,J340*100/I340,0)</f>
        <v>57.142857142857146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IFERROR(__xludf.DUMMYFUNCTION("IMPORTRANGE(""https://docs.google.com/spreadsheets/d/1kVcqe37tkHyjCSG3S0O1AXqVkqjo8mSIZil3BcpIysc/edit?usp=sharing"",""ศูนย์!F43"")"),344)</f>
        <v>344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IFERROR(__xludf.DUMMYFUNCTION("IMPORTRANGE(""https://docs.google.com/spreadsheets/d/1kVcqe37tkHyjCSG3S0O1AXqVkqjo8mSIZil3BcpIysc/edit?usp=sharing"",""ศูนย์!G43"")"),0)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IFERROR(__xludf.DUMMYFUNCTION("IMPORTRANGE(""https://docs.google.com/spreadsheets/d/1kVcqe37tkHyjCSG3S0O1AXqVkqjo8mSIZil3BcpIysc/edit?usp=sharing"",""ศูนย์!H43"")"),78)</f>
        <v>78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1476480</v>
      </c>
      <c r="M345" s="972">
        <f t="shared" ca="1" si="155"/>
        <v>1215760</v>
      </c>
      <c r="N345" s="972">
        <f t="shared" ca="1" si="155"/>
        <v>568276</v>
      </c>
      <c r="O345" s="972">
        <f t="shared" ref="O345:O353" ca="1" si="156">IF(L345&gt;0,N345*100/L345,0)</f>
        <v>38.488567403554399</v>
      </c>
      <c r="P345" s="972">
        <f t="shared" ref="P345:P353" ca="1" si="157">IF(M345&gt;0,N345*100/M345,0)</f>
        <v>46.74244916759887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1476480</v>
      </c>
      <c r="M347" s="870">
        <f t="shared" ca="1" si="158"/>
        <v>1215760</v>
      </c>
      <c r="N347" s="870">
        <f t="shared" ca="1" si="158"/>
        <v>568276</v>
      </c>
      <c r="O347" s="870">
        <f t="shared" ca="1" si="156"/>
        <v>38.488567403554399</v>
      </c>
      <c r="P347" s="870">
        <f t="shared" ca="1" si="157"/>
        <v>46.74244916759887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1416480</v>
      </c>
      <c r="M348" s="864">
        <f t="shared" ca="1" si="159"/>
        <v>1155760</v>
      </c>
      <c r="N348" s="864">
        <f t="shared" ca="1" si="159"/>
        <v>508276</v>
      </c>
      <c r="O348" s="864">
        <f t="shared" ca="1" si="156"/>
        <v>35.883033999774085</v>
      </c>
      <c r="P348" s="864">
        <f t="shared" ca="1" si="157"/>
        <v>43.977642417110822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IFERROR(__xludf.DUMMYFUNCTION("IMPORTRANGE(""https://docs.google.com/spreadsheets/d/1MeEWN-I1oV_STSDYn1IFDPWt_1FKiwhDph83XaGc0o0/edit?usp=sharing"",""งบพรบ!EW43"")"),1416480)</f>
        <v>1416480</v>
      </c>
      <c r="M350" s="870">
        <f ca="1">IFERROR(__xludf.DUMMYFUNCTION("IMPORTRANGE(""https://docs.google.com/spreadsheets/d/1MeEWN-I1oV_STSDYn1IFDPWt_1FKiwhDph83XaGc0o0/edit?usp=sharing"",""งบพรบ!FB43"")"),1155760)</f>
        <v>1155760</v>
      </c>
      <c r="N350" s="870">
        <f ca="1">IFERROR(__xludf.DUMMYFUNCTION("IMPORTRANGE(""https://docs.google.com/spreadsheets/d/1MeEWN-I1oV_STSDYn1IFDPWt_1FKiwhDph83XaGc0o0/edit?usp=sharing"",""งบพรบ!FD43"")"),508276)</f>
        <v>508276</v>
      </c>
      <c r="O350" s="870">
        <f t="shared" ca="1" si="156"/>
        <v>35.883033999774085</v>
      </c>
      <c r="P350" s="870">
        <f t="shared" ca="1" si="157"/>
        <v>43.977642417110822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60000</v>
      </c>
      <c r="M351" s="864">
        <f t="shared" ca="1" si="160"/>
        <v>60000</v>
      </c>
      <c r="N351" s="864">
        <f t="shared" ca="1" si="160"/>
        <v>60000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IFERROR(__xludf.DUMMYFUNCTION("IMPORTRANGE(""https://docs.google.com/spreadsheets/d/1MeEWN-I1oV_STSDYn1IFDPWt_1FKiwhDph83XaGc0o0/edit?usp=sharing"",""งบพรบ!EZ43"")"),60000)</f>
        <v>60000</v>
      </c>
      <c r="M353" s="870">
        <f ca="1">IFERROR(__xludf.DUMMYFUNCTION("IMPORTRANGE(""https://docs.google.com/spreadsheets/d/1MeEWN-I1oV_STSDYn1IFDPWt_1FKiwhDph83XaGc0o0/edit?usp=sharing"",""งบพรบ!FC43"")"),60000)</f>
        <v>60000</v>
      </c>
      <c r="N353" s="870">
        <f ca="1">IFERROR(__xludf.DUMMYFUNCTION("IMPORTRANGE(""https://docs.google.com/spreadsheets/d/1MeEWN-I1oV_STSDYn1IFDPWt_1FKiwhDph83XaGc0o0/edit?usp=sharing"",""งบพรบ!FE43"")"),60000)</f>
        <v>60000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IFERROR(__xludf.DUMMYFUNCTION("IMPORTRANGE(""https://docs.google.com/spreadsheets/d/1QqKyyYR6Q21VydFLVH3TRQUabQu_ym0Zz7PgGX0-kHA/edit?usp=sharing"",""แผน!EP43"")"),755)</f>
        <v>755</v>
      </c>
      <c r="J355" s="1186">
        <f ca="1">J362</f>
        <v>265</v>
      </c>
      <c r="K355" s="1187">
        <f ca="1">IF(I355&gt;0,J355*100/I355,0)</f>
        <v>35.099337748344368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IFERROR(__xludf.DUMMYFUNCTION("IMPORTRANGE(""https://docs.google.com/spreadsheets/d/1XWAQStnk-4SwqDmLtmXYiTMKHgktTP8We1SCoS47DrQ/edit?usp=sharing"",""จัดที่ดิน!W43"")"),428)</f>
        <v>428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IFERROR(__xludf.DUMMYFUNCTION("IMPORTRANGE(""https://docs.google.com/spreadsheets/d/1QqKyyYR6Q21VydFLVH3TRQUabQu_ym0Zz7PgGX0-kHA/edit?usp=sharing"",""แผน!EO43"")"),7550)</f>
        <v>7550</v>
      </c>
      <c r="J359" s="863">
        <f ca="1">IFERROR(__xludf.DUMMYFUNCTION("IMPORTRANGE(""https://docs.google.com/spreadsheets/d/1XWAQStnk-4SwqDmLtmXYiTMKHgktTP8We1SCoS47DrQ/edit?usp=sharing"",""จัดที่ดิน!X43"")"),3788.41)</f>
        <v>3788.41</v>
      </c>
      <c r="K359" s="864">
        <f t="shared" ca="1" si="161"/>
        <v>50.177615894039732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IFERROR(__xludf.DUMMYFUNCTION("IMPORTRANGE(""https://docs.google.com/spreadsheets/d/1QqKyyYR6Q21VydFLVH3TRQUabQu_ym0Zz7PgGX0-kHA/edit?usp=sharing"",""แผน!EP43"")"),755)</f>
        <v>755</v>
      </c>
      <c r="J360" s="863">
        <f ca="1">IFERROR(__xludf.DUMMYFUNCTION("IMPORTRANGE(""https://docs.google.com/spreadsheets/d/1XWAQStnk-4SwqDmLtmXYiTMKHgktTP8We1SCoS47DrQ/edit?usp=sharing"",""จัดที่ดิน!Y43"")"),263)</f>
        <v>263</v>
      </c>
      <c r="K360" s="864">
        <f t="shared" ca="1" si="161"/>
        <v>34.834437086092713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IFERROR(__xludf.DUMMYFUNCTION("IMPORTRANGE(""https://docs.google.com/spreadsheets/d/1XWAQStnk-4SwqDmLtmXYiTMKHgktTP8We1SCoS47DrQ/edit?usp=sharing"",""จัดที่ดิน!Z43"")"),2358.88)</f>
        <v>2358.88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IFERROR(__xludf.DUMMYFUNCTION("IMPORTRANGE(""https://docs.google.com/spreadsheets/d/1QqKyyYR6Q21VydFLVH3TRQUabQu_ym0Zz7PgGX0-kHA/edit?usp=sharing"",""แผน!EP43"")"),755)</f>
        <v>755</v>
      </c>
      <c r="J362" s="863">
        <f ca="1">IFERROR(__xludf.DUMMYFUNCTION("IMPORTRANGE(""https://docs.google.com/spreadsheets/d/1XWAQStnk-4SwqDmLtmXYiTMKHgktTP8We1SCoS47DrQ/edit?usp=sharing"",""จัดที่ดิน!AA43"")"),265)</f>
        <v>265</v>
      </c>
      <c r="K362" s="864">
        <f t="shared" ca="1" si="161"/>
        <v>35.099337748344368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IFERROR(__xludf.DUMMYFUNCTION("IMPORTRANGE(""https://docs.google.com/spreadsheets/d/1XWAQStnk-4SwqDmLtmXYiTMKHgktTP8We1SCoS47DrQ/edit?usp=sharing"",""จัดที่ดิน!AB43"")"),2368.41)</f>
        <v>2368.41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1155</v>
      </c>
      <c r="J364" s="1199">
        <f t="shared" ca="1" si="162"/>
        <v>577</v>
      </c>
      <c r="K364" s="1200">
        <f t="shared" ca="1" si="161"/>
        <v>49.956709956709958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IFERROR(__xludf.DUMMYFUNCTION("IMPORTRANGE(""https://docs.google.com/spreadsheets/d/1QqKyyYR6Q21VydFLVH3TRQUabQu_ym0Zz7PgGX0-kHA/edit?usp=sharing"",""แผน!EJ43"")"),355)</f>
        <v>355</v>
      </c>
      <c r="J365" s="1207">
        <f ca="1">J372</f>
        <v>56</v>
      </c>
      <c r="K365" s="1208">
        <f t="shared" ca="1" si="161"/>
        <v>15.774647887323944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IFERROR(__xludf.DUMMYFUNCTION("IMPORTRANGE(""https://docs.google.com/spreadsheets/d/1XWAQStnk-4SwqDmLtmXYiTMKHgktTP8We1SCoS47DrQ/edit?usp=sharing"",""จัดที่ดิน!E43"")"),88)</f>
        <v>88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IFERROR(__xludf.DUMMYFUNCTION("IMPORTRANGE(""https://docs.google.com/spreadsheets/d/1QqKyyYR6Q21VydFLVH3TRQUabQu_ym0Zz7PgGX0-kHA/edit?usp=sharing"",""แผน!EI43"")"),3550)</f>
        <v>3550</v>
      </c>
      <c r="J369" s="863">
        <f ca="1">IFERROR(__xludf.DUMMYFUNCTION("IMPORTRANGE(""https://docs.google.com/spreadsheets/d/1XWAQStnk-4SwqDmLtmXYiTMKHgktTP8We1SCoS47DrQ/edit?usp=sharing"",""จัดที่ดิน!F43"")"),572.3)</f>
        <v>572.29999999999995</v>
      </c>
      <c r="K369" s="864">
        <f t="shared" ca="1" si="163"/>
        <v>16.121126760563378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IFERROR(__xludf.DUMMYFUNCTION("IMPORTRANGE(""https://docs.google.com/spreadsheets/d/1QqKyyYR6Q21VydFLVH3TRQUabQu_ym0Zz7PgGX0-kHA/edit?usp=sharing"",""แผน!EJ43"")"),355)</f>
        <v>355</v>
      </c>
      <c r="J370" s="863">
        <f ca="1">IFERROR(__xludf.DUMMYFUNCTION("IMPORTRANGE(""https://docs.google.com/spreadsheets/d/1XWAQStnk-4SwqDmLtmXYiTMKHgktTP8We1SCoS47DrQ/edit?usp=sharing"",""จัดที่ดิน!G43"")"),56)</f>
        <v>56</v>
      </c>
      <c r="K370" s="864">
        <f t="shared" ca="1" si="163"/>
        <v>15.774647887323944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IFERROR(__xludf.DUMMYFUNCTION("IMPORTRANGE(""https://docs.google.com/spreadsheets/d/1XWAQStnk-4SwqDmLtmXYiTMKHgktTP8We1SCoS47DrQ/edit?usp=sharing"",""จัดที่ดิน!H43"")"),473)</f>
        <v>473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IFERROR(__xludf.DUMMYFUNCTION("IMPORTRANGE(""https://docs.google.com/spreadsheets/d/1QqKyyYR6Q21VydFLVH3TRQUabQu_ym0Zz7PgGX0-kHA/edit?usp=sharing"",""แผน!EJ43"")"),355)</f>
        <v>355</v>
      </c>
      <c r="J372" s="863">
        <f ca="1">IFERROR(__xludf.DUMMYFUNCTION("IMPORTRANGE(""https://docs.google.com/spreadsheets/d/1XWAQStnk-4SwqDmLtmXYiTMKHgktTP8We1SCoS47DrQ/edit?usp=sharing"",""จัดที่ดิน!I43"")"),56)</f>
        <v>56</v>
      </c>
      <c r="K372" s="864">
        <f t="shared" ca="1" si="163"/>
        <v>15.774647887323944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IFERROR(__xludf.DUMMYFUNCTION("IMPORTRANGE(""https://docs.google.com/spreadsheets/d/1XWAQStnk-4SwqDmLtmXYiTMKHgktTP8We1SCoS47DrQ/edit?usp=sharing"",""จัดที่ดิน!J43"")"),473)</f>
        <v>473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IFERROR(__xludf.DUMMYFUNCTION("IMPORTRANGE(""https://docs.google.com/spreadsheets/d/1QqKyyYR6Q21VydFLVH3TRQUabQu_ym0Zz7PgGX0-kHA/edit?usp=sharing"",""แผน!EU43"")"),800)</f>
        <v>800</v>
      </c>
      <c r="J374" s="1207">
        <f ca="1">J381</f>
        <v>521</v>
      </c>
      <c r="K374" s="1208">
        <f t="shared" ca="1" si="163"/>
        <v>65.125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IFERROR(__xludf.DUMMYFUNCTION("IMPORTRANGE(""https://docs.google.com/spreadsheets/d/1XWAQStnk-4SwqDmLtmXYiTMKHgktTP8We1SCoS47DrQ/edit?usp=sharing"",""จัดที่ดิน!AH43"")"),340)</f>
        <v>340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IFERROR(__xludf.DUMMYFUNCTION("IMPORTRANGE(""https://docs.google.com/spreadsheets/d/1QqKyyYR6Q21VydFLVH3TRQUabQu_ym0Zz7PgGX0-kHA/edit?usp=sharing"",""แผน!ET43"")"),4000)</f>
        <v>4000</v>
      </c>
      <c r="J378" s="863">
        <f ca="1">IFERROR(__xludf.DUMMYFUNCTION("IMPORTRANGE(""https://docs.google.com/spreadsheets/d/1XWAQStnk-4SwqDmLtmXYiTMKHgktTP8We1SCoS47DrQ/edit?usp=sharing"",""จัดที่ดิน!AI43"")"),3216.11)</f>
        <v>3216.11</v>
      </c>
      <c r="K378" s="864">
        <f t="shared" ca="1" si="164"/>
        <v>80.402749999999997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IFERROR(__xludf.DUMMYFUNCTION("IMPORTRANGE(""https://docs.google.com/spreadsheets/d/1QqKyyYR6Q21VydFLVH3TRQUabQu_ym0Zz7PgGX0-kHA/edit?usp=sharing"",""แผน!EU43"")"),800)</f>
        <v>800</v>
      </c>
      <c r="J379" s="863">
        <f ca="1">IFERROR(__xludf.DUMMYFUNCTION("IMPORTRANGE(""https://docs.google.com/spreadsheets/d/1XWAQStnk-4SwqDmLtmXYiTMKHgktTP8We1SCoS47DrQ/edit?usp=sharing"",""จัดที่ดิน!AJ43"")"),519)</f>
        <v>519</v>
      </c>
      <c r="K379" s="864">
        <f t="shared" ca="1" si="164"/>
        <v>64.875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IFERROR(__xludf.DUMMYFUNCTION("IMPORTRANGE(""https://docs.google.com/spreadsheets/d/1XWAQStnk-4SwqDmLtmXYiTMKHgktTP8We1SCoS47DrQ/edit?usp=sharing"",""จัดที่ดิน!AK43"")"),6956.25)</f>
        <v>6956.25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IFERROR(__xludf.DUMMYFUNCTION("IMPORTRANGE(""https://docs.google.com/spreadsheets/d/1QqKyyYR6Q21VydFLVH3TRQUabQu_ym0Zz7PgGX0-kHA/edit?usp=sharing"",""แผน!EU43"")"),800)</f>
        <v>800</v>
      </c>
      <c r="J381" s="863">
        <f ca="1">IFERROR(__xludf.DUMMYFUNCTION("IMPORTRANGE(""https://docs.google.com/spreadsheets/d/1XWAQStnk-4SwqDmLtmXYiTMKHgktTP8We1SCoS47DrQ/edit?usp=sharing"",""จัดที่ดิน!AL43"")"),521)</f>
        <v>521</v>
      </c>
      <c r="K381" s="864">
        <f t="shared" ca="1" si="164"/>
        <v>65.125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IFERROR(__xludf.DUMMYFUNCTION("IMPORTRANGE(""https://docs.google.com/spreadsheets/d/1XWAQStnk-4SwqDmLtmXYiTMKHgktTP8We1SCoS47DrQ/edit?usp=sharing"",""จัดที่ดิน!AM43"")"),6965.78)</f>
        <v>6965.78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IFERROR(__xludf.DUMMYFUNCTION("IMPORTRANGE(""https://docs.google.com/spreadsheets/d/1QqKyyYR6Q21VydFLVH3TRQUabQu_ym0Zz7PgGX0-kHA/edit?usp=sharing"",""แผน!EW43"")"),100)</f>
        <v>100</v>
      </c>
      <c r="J385" s="1117">
        <f ca="1">IFERROR(__xludf.DUMMYFUNCTION("IMPORTRANGE(""https://docs.google.com/spreadsheets/d/1XWAQStnk-4SwqDmLtmXYiTMKHgktTP8We1SCoS47DrQ/edit?usp=sharing"",""จัดที่ดิน!AP43"")"),2)</f>
        <v>2</v>
      </c>
      <c r="K385" s="1215">
        <f ca="1">IF(I385&gt;0,J385*100/I385,0)</f>
        <v>2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IFERROR(__xludf.DUMMYFUNCTION("IMPORTRANGE(""https://docs.google.com/spreadsheets/d/1MeEWN-I1oV_STSDYn1IFDPWt_1FKiwhDph83XaGc0o0/edit?usp=sharing"",""งบพรบ!FG43"")"),0)</f>
        <v>0</v>
      </c>
      <c r="M394" s="870">
        <f ca="1">IFERROR(__xludf.DUMMYFUNCTION("IMPORTRANGE(""https://docs.google.com/spreadsheets/d/1MeEWN-I1oV_STSDYn1IFDPWt_1FKiwhDph83XaGc0o0/edit?usp=sharing"",""งบพรบ!FL43"")"),0)</f>
        <v>0</v>
      </c>
      <c r="N394" s="870">
        <f ca="1">IFERROR(__xludf.DUMMYFUNCTION("IMPORTRANGE(""https://docs.google.com/spreadsheets/d/1MeEWN-I1oV_STSDYn1IFDPWt_1FKiwhDph83XaGc0o0/edit?usp=sharing"",""งบพรบ!FN43"")"),0)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IFERROR(__xludf.DUMMYFUNCTION("IMPORTRANGE(""https://docs.google.com/spreadsheets/d/1MeEWN-I1oV_STSDYn1IFDPWt_1FKiwhDph83XaGc0o0/edit?usp=sharing"",""งบพรบ!FJ43"")"),0)</f>
        <v>0</v>
      </c>
      <c r="M397" s="870">
        <f ca="1">IFERROR(__xludf.DUMMYFUNCTION("IMPORTRANGE(""https://docs.google.com/spreadsheets/d/1MeEWN-I1oV_STSDYn1IFDPWt_1FKiwhDph83XaGc0o0/edit?usp=sharing"",""งบพรบ!FM43"")"),0)</f>
        <v>0</v>
      </c>
      <c r="N397" s="870">
        <f ca="1">IFERROR(__xludf.DUMMYFUNCTION("IMPORTRANGE(""https://docs.google.com/spreadsheets/d/1MeEWN-I1oV_STSDYn1IFDPWt_1FKiwhDph83XaGc0o0/edit?usp=sharing"",""งบพรบ!FO43"")"),0)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IFERROR(__xludf.DUMMYFUNCTION("IMPORTRANGE(""https://docs.google.com/spreadsheets/d/1MeEWN-I1oV_STSDYn1IFDPWt_1FKiwhDph83XaGc0o0/edit?usp=sharing"",""งบพรบ!FQ43"")"),0)</f>
        <v>0</v>
      </c>
      <c r="M407" s="870">
        <f ca="1">IFERROR(__xludf.DUMMYFUNCTION("IMPORTRANGE(""https://docs.google.com/spreadsheets/d/1MeEWN-I1oV_STSDYn1IFDPWt_1FKiwhDph83XaGc0o0/edit?usp=sharing"",""งบพรบ!FV43"")"),0)</f>
        <v>0</v>
      </c>
      <c r="N407" s="870">
        <f ca="1">IFERROR(__xludf.DUMMYFUNCTION("IMPORTRANGE(""https://docs.google.com/spreadsheets/d/1MeEWN-I1oV_STSDYn1IFDPWt_1FKiwhDph83XaGc0o0/edit?usp=sharing"",""งบพรบ!FX43"")"),0)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IFERROR(__xludf.DUMMYFUNCTION("IMPORTRANGE(""https://docs.google.com/spreadsheets/d/1MeEWN-I1oV_STSDYn1IFDPWt_1FKiwhDph83XaGc0o0/edit?usp=sharing"",""งบพรบ!FT43"")"),0)</f>
        <v>0</v>
      </c>
      <c r="M410" s="870">
        <f ca="1">IFERROR(__xludf.DUMMYFUNCTION("IMPORTRANGE(""https://docs.google.com/spreadsheets/d/1MeEWN-I1oV_STSDYn1IFDPWt_1FKiwhDph83XaGc0o0/edit?usp=sharing"",""งบพรบ!FW43"")"),0)</f>
        <v>0</v>
      </c>
      <c r="N410" s="870">
        <f ca="1">IFERROR(__xludf.DUMMYFUNCTION("IMPORTRANGE(""https://docs.google.com/spreadsheets/d/1MeEWN-I1oV_STSDYn1IFDPWt_1FKiwhDph83XaGc0o0/edit?usp=sharing"",""งบพรบ!FY43"")"),0)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2129712</v>
      </c>
      <c r="M414" s="1257">
        <f t="shared" si="181"/>
        <v>0</v>
      </c>
      <c r="N414" s="1257">
        <f t="shared" si="181"/>
        <v>798944.69</v>
      </c>
      <c r="O414" s="1257">
        <f ca="1">IF(L414&gt;0,N414*100/L414,0)</f>
        <v>37.514212719841929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61990</v>
      </c>
      <c r="O419" s="972">
        <f t="shared" ref="O419:O424" ca="1" si="185">IF(L419&gt;0,N419*100/L419,0)</f>
        <v>78.807526061530638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61990</v>
      </c>
      <c r="O421" s="870">
        <f t="shared" ca="1" si="185"/>
        <v>78.807526061530638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61990</v>
      </c>
      <c r="O422" s="864">
        <f t="shared" ca="1" si="185"/>
        <v>78.807526061530638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IFERROR(__xludf.DUMMYFUNCTION("IMPORTRANGE(""https://docs.google.com/spreadsheets/d/1QqKyyYR6Q21VydFLVH3TRQUabQu_ym0Zz7PgGX0-kHA/edit?usp=sharing"",""แผน!EY43"")"),78660)</f>
        <v>78660</v>
      </c>
      <c r="M424" s="870">
        <v>0</v>
      </c>
      <c r="N424" s="870">
        <f>N425+N426+N427+N428</f>
        <v>61990</v>
      </c>
      <c r="O424" s="870">
        <f t="shared" ca="1" si="185"/>
        <v>78.807526061530638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48400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f>3120+10470</f>
        <v>13590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IFERROR(__xludf.DUMMYFUNCTION("IMPORTRANGE(""https://docs.google.com/spreadsheets/d/1QqKyyYR6Q21VydFLVH3TRQUabQu_ym0Zz7PgGX0-kHA/edit?usp=sharing"",""แผน!FB43"")"),0)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IFERROR(__xludf.DUMMYFUNCTION("IMPORTRANGE(""https://docs.google.com/spreadsheets/d/1QqKyyYR6Q21VydFLVH3TRQUabQu_ym0Zz7PgGX0-kHA/edit?usp=sharing"",""แผน!FC43"")"),20)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IFERROR(__xludf.DUMMYFUNCTION("IMPORTRANGE(""https://docs.google.com/spreadsheets/d/1QqKyyYR6Q21VydFLVH3TRQUabQu_ym0Zz7PgGX0-kHA/edit?usp=sharing"",""แผน!FD43"")"),0)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IFERROR(__xludf.DUMMYFUNCTION("IMPORTRANGE(""https://docs.google.com/spreadsheets/d/1QqKyyYR6Q21VydFLVH3TRQUabQu_ym0Zz7PgGX0-kHA/edit?usp=sharing"",""แผน!FE43"")"),0)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IFERROR(__xludf.DUMMYFUNCTION("IMPORTRANGE(""https://docs.google.com/spreadsheets/d/1QqKyyYR6Q21VydFLVH3TRQUabQu_ym0Zz7PgGX0-kHA/edit?usp=sharing"",""แผน!FF43"")"),20)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IFERROR(__xludf.DUMMYFUNCTION("IMPORTRANGE(""https://docs.google.com/spreadsheets/d/1QqKyyYR6Q21VydFLVH3TRQUabQu_ym0Zz7PgGX0-kHA/edit?usp=sharing"",""แผน!FG43"")"),1)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IFERROR(__xludf.DUMMYFUNCTION("IMPORTRANGE(""https://docs.google.com/spreadsheets/d/1QqKyyYR6Q21VydFLVH3TRQUabQu_ym0Zz7PgGX0-kHA/edit?usp=sharing"",""แผน!FH43"")"),0)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100</v>
      </c>
      <c r="J442" s="1285">
        <f t="shared" si="195"/>
        <v>100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235</v>
      </c>
      <c r="J443" s="1270">
        <f t="shared" si="196"/>
        <v>235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571280</v>
      </c>
      <c r="M444" s="1000">
        <f t="shared" si="197"/>
        <v>0</v>
      </c>
      <c r="N444" s="1000">
        <f t="shared" si="197"/>
        <v>232250</v>
      </c>
      <c r="O444" s="1000">
        <f t="shared" ref="O444:O449" ca="1" si="198">IF(L444&gt;0,N444*100/L444,0)</f>
        <v>40.65432012323204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571280</v>
      </c>
      <c r="M446" s="870">
        <f t="shared" si="200"/>
        <v>0</v>
      </c>
      <c r="N446" s="870">
        <f t="shared" si="200"/>
        <v>232250</v>
      </c>
      <c r="O446" s="870">
        <f t="shared" ca="1" si="198"/>
        <v>40.65432012323204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571280</v>
      </c>
      <c r="M447" s="864">
        <f t="shared" si="201"/>
        <v>0</v>
      </c>
      <c r="N447" s="864">
        <f t="shared" si="201"/>
        <v>232250</v>
      </c>
      <c r="O447" s="864">
        <f t="shared" ca="1" si="198"/>
        <v>40.65432012323204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IFERROR(__xludf.DUMMYFUNCTION("IMPORTRANGE(""https://docs.google.com/spreadsheets/d/1QqKyyYR6Q21VydFLVH3TRQUabQu_ym0Zz7PgGX0-kHA/edit?usp=sharing"",""แผน!FJ43"")"),571280)</f>
        <v>571280</v>
      </c>
      <c r="M449" s="870">
        <v>0</v>
      </c>
      <c r="N449" s="870">
        <f>N450+N451+N452+N453</f>
        <v>232250</v>
      </c>
      <c r="O449" s="870">
        <f t="shared" ca="1" si="198"/>
        <v>40.65432012323204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128800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f>14800+450+36200</f>
        <v>51450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IFERROR(__xludf.DUMMYFUNCTION("IMPORTRANGE(""https://docs.google.com/spreadsheets/d/1QqKyyYR6Q21VydFLVH3TRQUabQu_ym0Zz7PgGX0-kHA/edit?usp=sharing"",""แผน!FM43"")"),0)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IFERROR(__xludf.DUMMYFUNCTION("IMPORTRANGE(""https://docs.google.com/spreadsheets/d/1QqKyyYR6Q21VydFLVH3TRQUabQu_ym0Zz7PgGX0-kHA/edit?usp=sharing"",""แผน!FN43"")"),100)</f>
        <v>100</v>
      </c>
      <c r="J460" s="992">
        <v>100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IFERROR(__xludf.DUMMYFUNCTION("IMPORTRANGE(""https://docs.google.com/spreadsheets/d/1QqKyyYR6Q21VydFLVH3TRQUabQu_ym0Zz7PgGX0-kHA/edit?usp=sharing"",""แผน!FO43"")"),235)</f>
        <v>235</v>
      </c>
      <c r="J462" s="992">
        <v>235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IFERROR(__xludf.DUMMYFUNCTION("IMPORTRANGE(""https://docs.google.com/spreadsheets/d/1QqKyyYR6Q21VydFLVH3TRQUabQu_ym0Zz7PgGX0-kHA/edit?usp=sharing"",""แผน!FO43"")"),235)</f>
        <v>235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IFERROR(__xludf.DUMMYFUNCTION("IMPORTRANGE(""https://docs.google.com/spreadsheets/d/1QqKyyYR6Q21VydFLVH3TRQUabQu_ym0Zz7PgGX0-kHA/edit?usp=sharing"",""แผน!FN43"")"),100)</f>
        <v>100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IFERROR(__xludf.DUMMYFUNCTION("IMPORTRANGE(""https://docs.google.com/spreadsheets/d/1QqKyyYR6Q21VydFLVH3TRQUabQu_ym0Zz7PgGX0-kHA/edit?usp=sharing"",""แผน!FX43"")"),31)</f>
        <v>31</v>
      </c>
      <c r="J465" s="1285">
        <f>J485+J489+J492</f>
        <v>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IFERROR(__xludf.DUMMYFUNCTION("IMPORTRANGE(""https://docs.google.com/spreadsheets/d/1QqKyyYR6Q21VydFLVH3TRQUabQu_ym0Zz7PgGX0-kHA/edit?usp=sharing"",""แผน!FW43"")"),300)</f>
        <v>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260973</v>
      </c>
      <c r="M467" s="1000">
        <f t="shared" si="206"/>
        <v>0</v>
      </c>
      <c r="N467" s="1000">
        <f t="shared" si="206"/>
        <v>59353</v>
      </c>
      <c r="O467" s="1000">
        <f t="shared" ref="O467:O472" ca="1" si="207">IF(L467&gt;0,N467*100/L467,0)</f>
        <v>22.742965747414484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260973</v>
      </c>
      <c r="M469" s="870">
        <f t="shared" si="209"/>
        <v>0</v>
      </c>
      <c r="N469" s="870">
        <f t="shared" si="209"/>
        <v>59353</v>
      </c>
      <c r="O469" s="870">
        <f t="shared" ca="1" si="207"/>
        <v>22.742965747414484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260973</v>
      </c>
      <c r="M470" s="864">
        <f t="shared" si="210"/>
        <v>0</v>
      </c>
      <c r="N470" s="864">
        <f t="shared" si="210"/>
        <v>59353</v>
      </c>
      <c r="O470" s="864">
        <f t="shared" ca="1" si="207"/>
        <v>22.742965747414484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IFERROR(__xludf.DUMMYFUNCTION("IMPORTRANGE(""https://docs.google.com/spreadsheets/d/1QqKyyYR6Q21VydFLVH3TRQUabQu_ym0Zz7PgGX0-kHA/edit?usp=sharing"",""แผน!FS43"")"),260973)</f>
        <v>260973</v>
      </c>
      <c r="M472" s="870">
        <v>0</v>
      </c>
      <c r="N472" s="870">
        <f>N473+N474+N475+N476</f>
        <v>59353</v>
      </c>
      <c r="O472" s="870">
        <f t="shared" ca="1" si="207"/>
        <v>22.742965747414484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36753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15070+307+7223</f>
        <v>22600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IFERROR(__xludf.DUMMYFUNCTION("IMPORTRANGE(""https://docs.google.com/spreadsheets/d/1QqKyyYR6Q21VydFLVH3TRQUabQu_ym0Zz7PgGX0-kHA/edit?usp=sharing"",""แผน!FV43"")"),0)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IFERROR(__xludf.DUMMYFUNCTION("IMPORTRANGE(""https://docs.google.com/spreadsheets/d/1QqKyyYR6Q21VydFLVH3TRQUabQu_ym0Zz7PgGX0-kHA/edit?usp=sharing"",""แผน!FY43"")"),270)</f>
        <v>270</v>
      </c>
      <c r="J483" s="992">
        <v>270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/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IFERROR(__xludf.DUMMYFUNCTION("IMPORTRANGE(""https://docs.google.com/spreadsheets/d/1QqKyyYR6Q21VydFLVH3TRQUabQu_ym0Zz7PgGX0-kHA/edit?usp=sharing"",""แผน!FZ43"")"),27)</f>
        <v>27</v>
      </c>
      <c r="J485" s="992">
        <v>27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IFERROR(__xludf.DUMMYFUNCTION("IMPORTRANGE(""https://docs.google.com/spreadsheets/d/1QqKyyYR6Q21VydFLVH3TRQUabQu_ym0Zz7PgGX0-kHA/edit?usp=sharing"",""แผน!GA43"")"),30)</f>
        <v>30</v>
      </c>
      <c r="J487" s="992">
        <v>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IFERROR(__xludf.DUMMYFUNCTION("IMPORTRANGE(""https://docs.google.com/spreadsheets/d/1QqKyyYR6Q21VydFLVH3TRQUabQu_ym0Zz7PgGX0-kHA/edit?usp=sharing"",""แผน!GB43"")"),3)</f>
        <v>3</v>
      </c>
      <c r="J489" s="992">
        <v>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IFERROR(__xludf.DUMMYFUNCTION("IMPORTRANGE(""https://docs.google.com/spreadsheets/d/1QqKyyYR6Q21VydFLVH3TRQUabQu_ym0Zz7PgGX0-kHA/edit?usp=sharing"",""แผน!GC43"")"),1)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IFERROR(__xludf.DUMMYFUNCTION("IMPORTRANGE(""https://docs.google.com/spreadsheets/d/1QqKyyYR6Q21VydFLVH3TRQUabQu_ym0Zz7PgGX0-kHA/edit?usp=sharing"",""แผน!FY43"")"),270)</f>
        <v>270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IFERROR(__xludf.DUMMYFUNCTION("IMPORTRANGE(""https://docs.google.com/spreadsheets/d/1QqKyyYR6Q21VydFLVH3TRQUabQu_ym0Zz7PgGX0-kHA/edit?usp=sharing"",""แผน!GA43"")"),30)</f>
        <v>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IFERROR(__xludf.DUMMYFUNCTION("IMPORTRANGE(""https://docs.google.com/spreadsheets/d/1QqKyyYR6Q21VydFLVH3TRQUabQu_ym0Zz7PgGX0-kHA/edit?usp=sharing"",""แผน!GQ43"")"),0)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IFERROR(__xludf.DUMMYFUNCTION("IMPORTRANGE(""https://docs.google.com/spreadsheets/d/1QqKyyYR6Q21VydFLVH3TRQUabQu_ym0Zz7PgGX0-kHA/edit?usp=sharing"",""แผน!GT43"")"),0)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IFERROR(__xludf.DUMMYFUNCTION("IMPORTRANGE(""https://docs.google.com/spreadsheets/d/1QqKyyYR6Q21VydFLVH3TRQUabQu_ym0Zz7PgGX0-kHA/edit?usp=sharing"",""แผน!GU43"")"),0)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IFERROR(__xludf.DUMMYFUNCTION("IMPORTRANGE(""https://docs.google.com/spreadsheets/d/1QqKyyYR6Q21VydFLVH3TRQUabQu_ym0Zz7PgGX0-kHA/edit?usp=sharing"",""แผน!GV43"")"),0)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IFERROR(__xludf.DUMMYFUNCTION("IMPORTRANGE(""https://docs.google.com/spreadsheets/d/1QqKyyYR6Q21VydFLVH3TRQUabQu_ym0Zz7PgGX0-kHA/edit?usp=sharing"",""แผน!GW43"")"),0)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IFERROR(__xludf.DUMMYFUNCTION("IMPORTRANGE(""https://docs.google.com/spreadsheets/d/1QqKyyYR6Q21VydFLVH3TRQUabQu_ym0Zz7PgGX0-kHA/edit?usp=sharing"",""แผน!GX43"")"),0)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IFERROR(__xludf.DUMMYFUNCTION("IMPORTRANGE(""https://docs.google.com/spreadsheets/d/1QqKyyYR6Q21VydFLVH3TRQUabQu_ym0Zz7PgGX0-kHA/edit?usp=sharing"",""แผน!GY43"")"),0)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IFERROR(__xludf.DUMMYFUNCTION("IMPORTRANGE(""https://docs.google.com/spreadsheets/d/1QqKyyYR6Q21VydFLVH3TRQUabQu_ym0Zz7PgGX0-kHA/edit?usp=sharing"",""แผน!GZ43"")"),0)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87155</v>
      </c>
      <c r="J543" s="1357">
        <f t="shared" si="235"/>
        <v>87155.307499999995</v>
      </c>
      <c r="K543" s="1358">
        <f t="shared" ca="1" si="234"/>
        <v>100.00035281968906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421879</v>
      </c>
      <c r="M544" s="972">
        <f t="shared" si="236"/>
        <v>0</v>
      </c>
      <c r="N544" s="972">
        <f t="shared" si="236"/>
        <v>166757.6</v>
      </c>
      <c r="O544" s="972">
        <f t="shared" ref="O544:O549" ca="1" si="237">IF(L544&gt;0,N544*100/L544,0)</f>
        <v>39.52735262954544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421879</v>
      </c>
      <c r="M546" s="870">
        <f t="shared" si="240"/>
        <v>0</v>
      </c>
      <c r="N546" s="870">
        <f t="shared" si="240"/>
        <v>166757.6</v>
      </c>
      <c r="O546" s="870">
        <f t="shared" ca="1" si="237"/>
        <v>39.52735262954544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421879</v>
      </c>
      <c r="M547" s="864">
        <f t="shared" si="241"/>
        <v>0</v>
      </c>
      <c r="N547" s="864">
        <f t="shared" si="241"/>
        <v>166757.6</v>
      </c>
      <c r="O547" s="864">
        <f t="shared" ca="1" si="237"/>
        <v>39.52735262954544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IFERROR(__xludf.DUMMYFUNCTION("IMPORTRANGE(""https://docs.google.com/spreadsheets/d/1QqKyyYR6Q21VydFLVH3TRQUabQu_ym0Zz7PgGX0-kHA/edit?usp=sharing"",""แผน!HB43"")"),421879)</f>
        <v>421879</v>
      </c>
      <c r="M549" s="870">
        <v>0</v>
      </c>
      <c r="N549" s="870">
        <f>N550+N551+N552+N553+N554</f>
        <v>166757.6</v>
      </c>
      <c r="O549" s="870">
        <f t="shared" ca="1" si="237"/>
        <v>39.52735262954544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51567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f>50240+34785+8125.6+22040</f>
        <v>115190.6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IFERROR(__xludf.DUMMYFUNCTION("IMPORTRANGE(""https://docs.google.com/spreadsheets/d/1QqKyyYR6Q21VydFLVH3TRQUabQu_ym0Zz7PgGX0-kHA/edit?usp=sharing"",""แผน!HF43"")"),0)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87155</v>
      </c>
      <c r="J559" s="1350">
        <f t="shared" si="245"/>
        <v>87155.307499999995</v>
      </c>
      <c r="K559" s="1351">
        <f t="shared" ref="K559:K561" ca="1" si="246">IF(I559&gt;0,J559*100/I559,0)</f>
        <v>100.00035281968906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IFERROR(__xludf.DUMMYFUNCTION("IMPORTRANGE(""https://docs.google.com/spreadsheets/d/1QqKyyYR6Q21VydFLVH3TRQUabQu_ym0Zz7PgGX0-kHA/edit?usp=sharing"",""แผน!HH43"")"),87155)</f>
        <v>87155</v>
      </c>
      <c r="J560" s="998">
        <f t="shared" ref="J560:J561" si="247">J562+J564+J566</f>
        <v>87155</v>
      </c>
      <c r="K560" s="1142">
        <f t="shared" ca="1" si="246"/>
        <v>100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IFERROR(__xludf.DUMMYFUNCTION("IMPORTRANGE(""https://docs.google.com/spreadsheets/d/1QqKyyYR6Q21VydFLVH3TRQUabQu_ym0Zz7PgGX0-kHA/edit?usp=sharing"",""แผน!HG43"")"),9269)</f>
        <v>9269</v>
      </c>
      <c r="J561" s="998">
        <f t="shared" si="247"/>
        <v>9250</v>
      </c>
      <c r="K561" s="1142">
        <f t="shared" ca="1" si="246"/>
        <v>99.795015643542996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77490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8474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8915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692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750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84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IFERROR(__xludf.DUMMYFUNCTION("IMPORTRANGE(""https://docs.google.com/spreadsheets/d/1QqKyyYR6Q21VydFLVH3TRQUabQu_ym0Zz7PgGX0-kHA/edit?usp=sharing"",""แผน!HH43"")"),87155)</f>
        <v>87155</v>
      </c>
      <c r="J568" s="999">
        <f t="shared" ref="J568:J569" si="248">J570+J572+J574</f>
        <v>87155.307499999995</v>
      </c>
      <c r="K568" s="1142">
        <f t="shared" ref="K568:K569" ca="1" si="249">IF(I568&gt;0,J568*100/I568,0)</f>
        <v>100.00035281968906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IFERROR(__xludf.DUMMYFUNCTION("IMPORTRANGE(""https://docs.google.com/spreadsheets/d/1QqKyyYR6Q21VydFLVH3TRQUabQu_ym0Zz7PgGX0-kHA/edit?usp=sharing"",""แผน!HG43"")"),9269)</f>
        <v>9269</v>
      </c>
      <c r="J569" s="999">
        <f t="shared" si="248"/>
        <v>9250</v>
      </c>
      <c r="K569" s="1142">
        <f t="shared" ca="1" si="249"/>
        <v>99.795015643542996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78529.372499999998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8546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6754.8050000000003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483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1871.13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221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IFERROR(__xludf.DUMMYFUNCTION("IMPORTRANGE(""https://docs.google.com/spreadsheets/d/1QqKyyYR6Q21VydFLVH3TRQUabQu_ym0Zz7PgGX0-kHA/edit?usp=sharing"",""แผน!HH43"")"),87155)</f>
        <v>87155</v>
      </c>
      <c r="J576" s="999">
        <f t="shared" ref="J576:J577" si="250">J578+J580+J582+J588+J590</f>
        <v>87155.307499999995</v>
      </c>
      <c r="K576" s="1142">
        <f t="shared" ref="K576:K577" ca="1" si="251">IF(I576&gt;0,J576*100/I576,0)</f>
        <v>100.00035281968906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IFERROR(__xludf.DUMMYFUNCTION("IMPORTRANGE(""https://docs.google.com/spreadsheets/d/1QqKyyYR6Q21VydFLVH3TRQUabQu_ym0Zz7PgGX0-kHA/edit?usp=sharing"",""แผน!HG43"")"),9269)</f>
        <v>9269</v>
      </c>
      <c r="J577" s="999">
        <f t="shared" si="250"/>
        <v>9250</v>
      </c>
      <c r="K577" s="1142">
        <f t="shared" ca="1" si="251"/>
        <v>99.795015643542996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78529.372499999998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8546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6754.8050000000003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483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1871.1299999999999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221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1848.6125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220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22.517499999999998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1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705.7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IFERROR(__xludf.DUMMYFUNCTION("IMPORTRANGE(""https://docs.google.com/spreadsheets/d/1QqKyyYR6Q21VydFLVH3TRQUabQu_ym0Zz7PgGX0-kHA/edit?usp=sharing"",""แผน!HJ43"")"),705.7)</f>
        <v>705.7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IFERROR(__xludf.DUMMYFUNCTION("IMPORTRANGE(""https://docs.google.com/spreadsheets/d/1QqKyyYR6Q21VydFLVH3TRQUabQu_ym0Zz7PgGX0-kHA/edit?usp=sharing"",""แผน!HI43"")"),32)</f>
        <v>32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IFERROR(__xludf.DUMMYFUNCTION("IMPORTRANGE(""https://docs.google.com/spreadsheets/d/1QqKyyYR6Q21VydFLVH3TRQUabQu_ym0Zz7PgGX0-kHA/edit?usp=sharing"",""แผน!HL43"")"),465)</f>
        <v>465</v>
      </c>
      <c r="J620" s="1389">
        <f t="shared" ref="J620:J621" si="260">J622+J624+J626</f>
        <v>465</v>
      </c>
      <c r="K620" s="1390">
        <f t="shared" ref="K620:K621" ca="1" si="261">IF(I620&gt;0,J620*100/I620,0)</f>
        <v>100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IFERROR(__xludf.DUMMYFUNCTION("IMPORTRANGE(""https://docs.google.com/spreadsheets/d/1QqKyyYR6Q21VydFLVH3TRQUabQu_ym0Zz7PgGX0-kHA/edit?usp=sharing"",""แผน!HK43"")"),37)</f>
        <v>37</v>
      </c>
      <c r="J621" s="1389">
        <f t="shared" si="260"/>
        <v>37</v>
      </c>
      <c r="K621" s="1390">
        <f t="shared" ca="1" si="261"/>
        <v>100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292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22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171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14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2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1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250</v>
      </c>
      <c r="J628" s="1398">
        <f t="shared" ca="1" si="262"/>
        <v>32</v>
      </c>
      <c r="K628" s="1399">
        <f ca="1">IF(I628&gt;0,J628*100/I628,0)</f>
        <v>12.8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454240</v>
      </c>
      <c r="M629" s="1000">
        <f t="shared" si="263"/>
        <v>0</v>
      </c>
      <c r="N629" s="1000">
        <f t="shared" si="263"/>
        <v>142613.07</v>
      </c>
      <c r="O629" s="1000">
        <f t="shared" ref="O629:O634" ca="1" si="264">IF(L629&gt;0,N629*100/L629,0)</f>
        <v>31.395973494188095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454240</v>
      </c>
      <c r="M631" s="870">
        <f t="shared" si="266"/>
        <v>0</v>
      </c>
      <c r="N631" s="870">
        <f t="shared" si="266"/>
        <v>142613.07</v>
      </c>
      <c r="O631" s="870">
        <f t="shared" ca="1" si="264"/>
        <v>31.395973494188095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454240</v>
      </c>
      <c r="M632" s="864">
        <f t="shared" si="267"/>
        <v>0</v>
      </c>
      <c r="N632" s="864">
        <f t="shared" si="267"/>
        <v>142613.07</v>
      </c>
      <c r="O632" s="864">
        <f t="shared" ca="1" si="264"/>
        <v>31.395973494188095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IFERROR(__xludf.DUMMYFUNCTION("IMPORTRANGE(""https://docs.google.com/spreadsheets/d/1QqKyyYR6Q21VydFLVH3TRQUabQu_ym0Zz7PgGX0-kHA/edit?usp=sharing"",""แผน!HN43"")"),454240)</f>
        <v>454240</v>
      </c>
      <c r="M634" s="870">
        <v>0</v>
      </c>
      <c r="N634" s="870">
        <f>N635+N636+N637+N638</f>
        <v>142613.07</v>
      </c>
      <c r="O634" s="870">
        <f t="shared" ca="1" si="264"/>
        <v>31.395973494188095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50701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44030+620+3532.07+24040+19690</f>
        <v>91912.07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IFERROR(__xludf.DUMMYFUNCTION("IMPORTRANGE(""https://docs.google.com/spreadsheets/d/1QqKyyYR6Q21VydFLVH3TRQUabQu_ym0Zz7PgGX0-kHA/edit?usp=sharing"",""แผน!HQ43"")"),0)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IFERROR(__xludf.DUMMYFUNCTION("IMPORTRANGE(""https://docs.google.com/spreadsheets/d/1QqKyyYR6Q21VydFLVH3TRQUabQu_ym0Zz7PgGX0-kHA/edit?usp=sharing"",""แผน!HR43"")"),0)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IFERROR(__xludf.DUMMYFUNCTION("IMPORTRANGE(""https://docs.google.com/spreadsheets/d/1QqKyyYR6Q21VydFLVH3TRQUabQu_ym0Zz7PgGX0-kHA/edit?usp=sharing"",""แผน!HR43"")"),0)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IFERROR(__xludf.DUMMYFUNCTION("IMPORTRANGE(""https://docs.google.com/spreadsheets/d/1XWAQStnk-4SwqDmLtmXYiTMKHgktTP8We1SCoS47DrQ/edit?usp=sharing"",""จัดที่ดิน!AS43"")"),127)</f>
        <v>127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IFERROR(__xludf.DUMMYFUNCTION("IMPORTRANGE(""https://docs.google.com/spreadsheets/d/1XWAQStnk-4SwqDmLtmXYiTMKHgktTP8We1SCoS47DrQ/edit?usp=sharing"",""จัดที่ดิน!AT43"")"),60.5)</f>
        <v>60.5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IFERROR(__xludf.DUMMYFUNCTION("IMPORTRANGE(""https://docs.google.com/spreadsheets/d/1QqKyyYR6Q21VydFLVH3TRQUabQu_ym0Zz7PgGX0-kHA/edit?usp=sharing"",""แผน!HS43"")"),250)</f>
        <v>250</v>
      </c>
      <c r="J647" s="863">
        <f ca="1">IFERROR(__xludf.DUMMYFUNCTION("IMPORTRANGE(""https://docs.google.com/spreadsheets/d/1XWAQStnk-4SwqDmLtmXYiTMKHgktTP8We1SCoS47DrQ/edit?usp=sharing"",""จัดที่ดิน!AU43"")"),155)</f>
        <v>155</v>
      </c>
      <c r="K647" s="978">
        <f t="shared" ca="1" si="271"/>
        <v>62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IFERROR(__xludf.DUMMYFUNCTION("IMPORTRANGE(""https://docs.google.com/spreadsheets/d/1XWAQStnk-4SwqDmLtmXYiTMKHgktTP8We1SCoS47DrQ/edit?usp=sharing"",""จัดที่ดิน!AV43"")"),84.1)</f>
        <v>84.1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IFERROR(__xludf.DUMMYFUNCTION("IMPORTRANGE(""https://docs.google.com/spreadsheets/d/1QqKyyYR6Q21VydFLVH3TRQUabQu_ym0Zz7PgGX0-kHA/edit?usp=sharing"",""แผน!HS43"")"),250)</f>
        <v>250</v>
      </c>
      <c r="J649" s="863">
        <f ca="1">IFERROR(__xludf.DUMMYFUNCTION("IMPORTRANGE(""https://docs.google.com/spreadsheets/d/1XWAQStnk-4SwqDmLtmXYiTMKHgktTP8We1SCoS47DrQ/edit?usp=sharing"",""จัดที่ดิน!AW43"")"),92)</f>
        <v>92</v>
      </c>
      <c r="K649" s="978">
        <f t="shared" ca="1" si="271"/>
        <v>36.799999999999997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IFERROR(__xludf.DUMMYFUNCTION("IMPORTRANGE(""https://docs.google.com/spreadsheets/d/1XWAQStnk-4SwqDmLtmXYiTMKHgktTP8We1SCoS47DrQ/edit?usp=sharing"",""จัดที่ดิน!AX43"")"),52.99)</f>
        <v>52.99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IFERROR(__xludf.DUMMYFUNCTION("IMPORTRANGE(""https://docs.google.com/spreadsheets/d/1QqKyyYR6Q21VydFLVH3TRQUabQu_ym0Zz7PgGX0-kHA/edit?usp=sharing"",""แผน!HS43"")"),250)</f>
        <v>250</v>
      </c>
      <c r="J651" s="863">
        <f ca="1">IFERROR(__xludf.DUMMYFUNCTION("IMPORTRANGE(""https://docs.google.com/spreadsheets/d/1XWAQStnk-4SwqDmLtmXYiTMKHgktTP8We1SCoS47DrQ/edit?usp=sharing"",""จัดที่ดิน!AY43"")"),32)</f>
        <v>32</v>
      </c>
      <c r="K651" s="978">
        <f t="shared" ca="1" si="271"/>
        <v>12.8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IFERROR(__xludf.DUMMYFUNCTION("IMPORTRANGE(""https://docs.google.com/spreadsheets/d/1XWAQStnk-4SwqDmLtmXYiTMKHgktTP8We1SCoS47DrQ/edit?usp=sharing"",""จัดที่ดิน!AZ43"")"),20.42)</f>
        <v>20.420000000000002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14000</v>
      </c>
      <c r="M655" s="1000">
        <f t="shared" si="273"/>
        <v>0</v>
      </c>
      <c r="N655" s="1000">
        <f t="shared" si="273"/>
        <v>3360</v>
      </c>
      <c r="O655" s="1000">
        <f t="shared" ref="O655:O660" ca="1" si="274">IF(L655&gt;0,N655*100/L655,0)</f>
        <v>24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14000</v>
      </c>
      <c r="M657" s="870">
        <f t="shared" si="276"/>
        <v>0</v>
      </c>
      <c r="N657" s="870">
        <f t="shared" si="276"/>
        <v>3360</v>
      </c>
      <c r="O657" s="870">
        <f t="shared" ca="1" si="274"/>
        <v>24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14000</v>
      </c>
      <c r="M658" s="864">
        <f t="shared" si="277"/>
        <v>0</v>
      </c>
      <c r="N658" s="864">
        <f t="shared" si="277"/>
        <v>3360</v>
      </c>
      <c r="O658" s="864">
        <f t="shared" ca="1" si="274"/>
        <v>24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IFERROR(__xludf.DUMMYFUNCTION("IMPORTRANGE(""https://docs.google.com/spreadsheets/d/1QqKyyYR6Q21VydFLVH3TRQUabQu_ym0Zz7PgGX0-kHA/edit?usp=sharing"",""แผน!HV43"")"),14000)</f>
        <v>14000</v>
      </c>
      <c r="M660" s="870">
        <v>0</v>
      </c>
      <c r="N660" s="870">
        <f>N661+N662+N663+N664</f>
        <v>3360</v>
      </c>
      <c r="O660" s="870">
        <f t="shared" ca="1" si="274"/>
        <v>24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3360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IFERROR(__xludf.DUMMYFUNCTION("IMPORTRANGE(""https://docs.google.com/spreadsheets/d/1QqKyyYR6Q21VydFLVH3TRQUabQu_ym0Zz7PgGX0-kHA/edit?usp=sharing"",""แผน!IA43"")"),100)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IFERROR(__xludf.DUMMYFUNCTION("IMPORTRANGE(""https://docs.google.com/spreadsheets/d/1QqKyyYR6Q21VydFLVH3TRQUabQu_ym0Zz7PgGX0-kHA/edit?usp=sharing"",""แผน!HZ43"")"),5)</f>
        <v>5</v>
      </c>
      <c r="J670" s="992">
        <v>5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IFERROR(__xludf.DUMMYFUNCTION("IMPORTRANGE(""https://docs.google.com/spreadsheets/d/1QqKyyYR6Q21VydFLVH3TRQUabQu_ym0Zz7PgGX0-kHA/edit?usp=sharing"",""แผน!HZ43"")"),5)</f>
        <v>5</v>
      </c>
      <c r="J671" s="992">
        <v>5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7</v>
      </c>
      <c r="K672" s="864">
        <f t="shared" ref="K672:K675" ca="1" si="281">IF(I$669&gt;0,J672*100/I$669,0)</f>
        <v>7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7</v>
      </c>
      <c r="K673" s="864">
        <f t="shared" ca="1" si="281"/>
        <v>7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IFERROR(__xludf.DUMMYFUNCTION("IMPORTRANGE(""https://docs.google.com/spreadsheets/d/1QqKyyYR6Q21VydFLVH3TRQUabQu_ym0Zz7PgGX0-kHA/edit?usp=sharing"",""แผน!IB43"")"),0)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1480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1480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1480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IFERROR(__xludf.DUMMYFUNCTION("IMPORTRANGE(""https://docs.google.com/spreadsheets/d/1QqKyyYR6Q21VydFLVH3TRQUabQu_ym0Zz7PgGX0-kHA/edit?usp=sharing"",""แผน!HW43"")"),1480)</f>
        <v>1480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IFERROR(__xludf.DUMMYFUNCTION("IMPORTRANGE(""https://docs.google.com/spreadsheets/d/1QqKyyYR6Q21VydFLVH3TRQUabQu_ym0Zz7PgGX0-kHA/edit?usp=sharing"",""แผน!IC43"")"),0)</f>
        <v>0</v>
      </c>
      <c r="J699" s="863">
        <f ca="1">IFERROR(__xludf.DUMMYFUNCTION("IMPORTRANGE(""https://docs.google.com/spreadsheets/d/1XWAQStnk-4SwqDmLtmXYiTMKHgktTP8We1SCoS47DrQ/edit?usp=sharing"",""จัดที่ดิน!BB43"")"),0)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IFERROR(__xludf.DUMMYFUNCTION("IMPORTRANGE(""https://docs.google.com/spreadsheets/d/1QqKyyYR6Q21VydFLVH3TRQUabQu_ym0Zz7PgGX0-kHA/edit?usp=sharing"",""แผน!ID43"")"),0)</f>
        <v>0</v>
      </c>
      <c r="J700" s="863">
        <f ca="1">IFERROR(__xludf.DUMMYFUNCTION("IMPORTRANGE(""https://docs.google.com/spreadsheets/d/1XWAQStnk-4SwqDmLtmXYiTMKHgktTP8We1SCoS47DrQ/edit?usp=sharing"",""จัดที่ดิน!BD43"")"),0)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IFERROR(__xludf.DUMMYFUNCTION("IMPORTRANGE(""https://docs.google.com/spreadsheets/d/1QqKyyYR6Q21VydFLVH3TRQUabQu_ym0Zz7PgGX0-kHA/edit?usp=sharing"",""แผน!IE43"")"),0)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IFERROR(__xludf.DUMMYFUNCTION("IMPORTRANGE(""https://docs.google.com/spreadsheets/d/1QqKyyYR6Q21VydFLVH3TRQUabQu_ym0Zz7PgGX0-kHA/edit?usp=sharing"",""แผน!IF43"")"),0)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IFERROR(__xludf.DUMMYFUNCTION("IMPORTRANGE(""https://docs.google.com/spreadsheets/d/1QqKyyYR6Q21VydFLVH3TRQUabQu_ym0Zz7PgGX0-kHA/edit?usp=sharing"",""แผน!IG43"")"),0)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IFERROR(__xludf.DUMMYFUNCTION("IMPORTRANGE(""https://docs.google.com/spreadsheets/d/1QqKyyYR6Q21VydFLVH3TRQUabQu_ym0Zz7PgGX0-kHA/edit?usp=sharing"",""แผน!IH43"")"),12)</f>
        <v>12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IFERROR(__xludf.DUMMYFUNCTION("IMPORTRANGE(""https://docs.google.com/spreadsheets/d/1XWAQStnk-4SwqDmLtmXYiTMKHgktTP8We1SCoS47DrQ/edit?usp=sharing"",""จัดที่ดิน!BF43"")"),0)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IFERROR(__xludf.DUMMYFUNCTION("IMPORTRANGE(""https://docs.google.com/spreadsheets/d/1XWAQStnk-4SwqDmLtmXYiTMKHgktTP8We1SCoS47DrQ/edit?usp=sharing"",""จัดที่ดิน!BG43"")"),0)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IFERROR(__xludf.DUMMYFUNCTION("IMPORTRANGE(""https://docs.google.com/spreadsheets/d/1QqKyyYR6Q21VydFLVH3TRQUabQu_ym0Zz7PgGX0-kHA/edit?usp=sharing"",""แผน!II43"")"),0)</f>
        <v>0</v>
      </c>
      <c r="J720" s="863">
        <f ca="1">IFERROR(__xludf.DUMMYFUNCTION("IMPORTRANGE(""https://docs.google.com/spreadsheets/d/1XWAQStnk-4SwqDmLtmXYiTMKHgktTP8We1SCoS47DrQ/edit?usp=sharing"",""จัดที่ดิน!BH43"")"),0)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IFERROR(__xludf.DUMMYFUNCTION("IMPORTRANGE(""https://docs.google.com/spreadsheets/d/1QqKyyYR6Q21VydFLVH3TRQUabQu_ym0Zz7PgGX0-kHA/edit?usp=sharing"",""แผน!IJ43"")"),2)</f>
        <v>2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IFERROR(__xludf.DUMMYFUNCTION("IMPORTRANGE(""https://docs.google.com/spreadsheets/d/1QqKyyYR6Q21VydFLVH3TRQUabQu_ym0Zz7PgGX0-kHA/edit?usp=sharing"",""แผน!IK43"")"),12)</f>
        <v>12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IFERROR(__xludf.DUMMYFUNCTION("IMPORTRANGE(""https://docs.google.com/spreadsheets/d/1QqKyyYR6Q21VydFLVH3TRQUabQu_ym0Zz7PgGX0-kHA/edit?usp=sharing"",""แผน!IL43"")"),2)</f>
        <v>2</v>
      </c>
      <c r="J723" s="863">
        <f ca="1">IFERROR(__xludf.DUMMYFUNCTION("IMPORTRANGE(""https://docs.google.com/spreadsheets/d/1XWAQStnk-4SwqDmLtmXYiTMKHgktTP8We1SCoS47DrQ/edit?usp=sharing"",""จัดที่ดิน!BM43"")"),0)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IFERROR(__xludf.DUMMYFUNCTION("IMPORTRANGE(""https://docs.google.com/spreadsheets/d/1XWAQStnk-4SwqDmLtmXYiTMKHgktTP8We1SCoS47DrQ/edit?usp=sharing"",""จัดที่ดิน!BN43"")"),0)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IFERROR(__xludf.DUMMYFUNCTION("IMPORTRANGE(""https://docs.google.com/spreadsheets/d/1QqKyyYR6Q21VydFLVH3TRQUabQu_ym0Zz7PgGX0-kHA/edit?usp=sharing"",""แผน!IM43"")"),12)</f>
        <v>12</v>
      </c>
      <c r="J725" s="863">
        <f ca="1">IFERROR(__xludf.DUMMYFUNCTION("IMPORTRANGE(""https://docs.google.com/spreadsheets/d/1XWAQStnk-4SwqDmLtmXYiTMKHgktTP8We1SCoS47DrQ/edit?usp=sharing"",""จัดที่ดิน!BO43"")"),0)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IFERROR(__xludf.DUMMYFUNCTION("IMPORTRANGE(""https://docs.google.com/spreadsheets/d/1QqKyyYR6Q21VydFLVH3TRQUabQu_ym0Zz7PgGX0-kHA/edit?usp=sharing"",""แผน!IN43"")"),0)</f>
        <v>0</v>
      </c>
      <c r="J726" s="863">
        <f ca="1">IFERROR(__xludf.DUMMYFUNCTION("IMPORTRANGE(""https://docs.google.com/spreadsheets/d/1XWAQStnk-4SwqDmLtmXYiTMKHgktTP8We1SCoS47DrQ/edit?usp=sharing"",""จัดที่ดิน!BR43"")"),0)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IFERROR(__xludf.DUMMYFUNCTION("IMPORTRANGE(""https://docs.google.com/spreadsheets/d/1XWAQStnk-4SwqDmLtmXYiTMKHgktTP8We1SCoS47DrQ/edit?usp=sharing"",""จัดที่ดิน!BS43"")"),0)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IFERROR(__xludf.DUMMYFUNCTION("IMPORTRANGE(""https://docs.google.com/spreadsheets/d/1QqKyyYR6Q21VydFLVH3TRQUabQu_ym0Zz7PgGX0-kHA/edit?usp=sharing"",""แผน!IO43"")"),0)</f>
        <v>0</v>
      </c>
      <c r="J728" s="863">
        <f ca="1">IFERROR(__xludf.DUMMYFUNCTION("IMPORTRANGE(""https://docs.google.com/spreadsheets/d/1XWAQStnk-4SwqDmLtmXYiTMKHgktTP8We1SCoS47DrQ/edit?usp=sharing"",""จัดที่ดิน!BT43"")"),0)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IFERROR(__xludf.DUMMYFUNCTION("IMPORTRANGE(""https://docs.google.com/spreadsheets/d/1QqKyyYR6Q21VydFLVH3TRQUabQu_ym0Zz7PgGX0-kHA/edit?usp=sharing"",""แผน!IP43"")"),0)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5000</v>
      </c>
      <c r="J785" s="800">
        <f t="shared" ca="1" si="318"/>
        <v>0</v>
      </c>
      <c r="K785" s="801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327200</v>
      </c>
      <c r="M786" s="1000">
        <f t="shared" si="319"/>
        <v>0</v>
      </c>
      <c r="N786" s="1000">
        <f t="shared" si="319"/>
        <v>132621.02000000002</v>
      </c>
      <c r="O786" s="1000">
        <f t="shared" ref="O786:O791" ca="1" si="320">IF(L786&gt;0,N786*100/L786,0)</f>
        <v>40.532096577017121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327200</v>
      </c>
      <c r="M788" s="870">
        <f t="shared" si="322"/>
        <v>0</v>
      </c>
      <c r="N788" s="870">
        <f t="shared" si="322"/>
        <v>132621.02000000002</v>
      </c>
      <c r="O788" s="870">
        <f t="shared" ca="1" si="320"/>
        <v>40.532096577017121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327200</v>
      </c>
      <c r="M789" s="864">
        <f t="shared" si="323"/>
        <v>0</v>
      </c>
      <c r="N789" s="864">
        <f t="shared" si="323"/>
        <v>132621.02000000002</v>
      </c>
      <c r="O789" s="864">
        <f t="shared" ca="1" si="320"/>
        <v>40.532096577017121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IFERROR(__xludf.DUMMYFUNCTION("IMPORTRANGE(""https://docs.google.com/spreadsheets/d/1QqKyyYR6Q21VydFLVH3TRQUabQu_ym0Zz7PgGX0-kHA/edit?usp=sharing"",""แผน!JJ43"")"),327200)</f>
        <v>327200</v>
      </c>
      <c r="M791" s="870">
        <v>0</v>
      </c>
      <c r="N791" s="870">
        <f>N792+N793+N794+N795</f>
        <v>132621.02000000002</v>
      </c>
      <c r="O791" s="870">
        <f t="shared" ca="1" si="320"/>
        <v>40.532096577017121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63547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f>12095+39800+12700+4479.02</f>
        <v>69074.02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IFERROR(__xludf.DUMMYFUNCTION("IMPORTRANGE(""https://docs.google.com/spreadsheets/d/1MaWodYyGHDf7siQLGxnXhG4mBNTNIuy296niS2xXulU/edit?usp=sharing"",""RTK!H43"")"),0)</f>
        <v>0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IFERROR(__xludf.DUMMYFUNCTION("IMPORTRANGE(""https://docs.google.com/spreadsheets/d/1MaWodYyGHDf7siQLGxnXhG4mBNTNIuy296niS2xXulU/edit?usp=sharing"",""RTK!G43"")"),5000)</f>
        <v>5000</v>
      </c>
      <c r="J801" s="815">
        <f ca="1">IFERROR(__xludf.DUMMYFUNCTION("IMPORTRANGE(""https://docs.google.com/spreadsheets/d/1MaWodYyGHDf7siQLGxnXhG4mBNTNIuy296niS2xXulU/edit?usp=sharing"",""RTK!I43"")"),0)</f>
        <v>0</v>
      </c>
      <c r="K801" s="816">
        <f ca="1">IF(I801&gt;0,J801*100/I801,0)</f>
        <v>0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IFERROR(__xludf.DUMMYFUNCTION("IMPORTRANGE(""https://docs.google.com/spreadsheets/d/1MaWodYyGHDf7siQLGxnXhG4mBNTNIuy296niS2xXulU/edit?usp=sharing"",""RTK!L43"")"),0)</f>
        <v>0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IFERROR(__xludf.DUMMYFUNCTION("IMPORTRANGE(""https://docs.google.com/spreadsheets/d/1MaWodYyGHDf7siQLGxnXhG4mBNTNIuy296niS2xXulU/edit?usp=sharing"",""RTK!K43"")"),0)</f>
        <v>0</v>
      </c>
      <c r="J803" s="815">
        <f ca="1">IFERROR(__xludf.DUMMYFUNCTION("IMPORTRANGE(""https://docs.google.com/spreadsheets/d/1MaWodYyGHDf7siQLGxnXhG4mBNTNIuy296niS2xXulU/edit?usp=sharing"",""RTK!M43"")"),0)</f>
        <v>0</v>
      </c>
      <c r="K803" s="816">
        <f t="shared" ref="K803:K804" ca="1" si="327">IF(I803&gt;0,J803*100/I803,0)</f>
        <v>0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863">
        <f ca="1">IFERROR(__xludf.DUMMYFUNCTION("IMPORTRANGE(""https://docs.google.com/spreadsheets/d/19vJNZY_5yjcGF2XGBMNZRCAIB0Kwfpjp8YEOfu-bneM/edit?usp=sharing"",""งานกองทุน!F43"")"),9700000)</f>
        <v>9700000</v>
      </c>
      <c r="K821" s="864">
        <f t="shared" ref="K821:K828" ca="1" si="336">IF(I821&gt;0,J821*100/I821,0)</f>
        <v>68.186498159243612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IFERROR(__xludf.DUMMYFUNCTION("IMPORTRANGE(""https://docs.google.com/spreadsheets/d/19vJNZY_5yjcGF2XGBMNZRCAIB0Kwfpjp8YEOfu-bneM/edit?usp=sharing"",""งานกองทุน!C43"")"),297)</f>
        <v>297</v>
      </c>
      <c r="J822" s="863">
        <f ca="1">IFERROR(__xludf.DUMMYFUNCTION("IMPORTRANGE(""https://docs.google.com/spreadsheets/d/19vJNZY_5yjcGF2XGBMNZRCAIB0Kwfpjp8YEOfu-bneM/edit?usp=sharing"",""งานกองทุน!E43"")"),194)</f>
        <v>194</v>
      </c>
      <c r="K822" s="864">
        <f t="shared" ca="1" si="336"/>
        <v>65.319865319865315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863">
        <f ca="1">IFERROR(__xludf.DUMMYFUNCTION("IMPORTRANGE(""https://docs.google.com/spreadsheets/d/19vJNZY_5yjcGF2XGBMNZRCAIB0Kwfpjp8YEOfu-bneM/edit?usp=sharing"",""งานกองทุน!K43"")"),813162.92)</f>
        <v>813162.92</v>
      </c>
      <c r="K823" s="864">
        <f t="shared" ca="1" si="336"/>
        <v>5.6698461739357748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IFERROR(__xludf.DUMMYFUNCTION("IMPORTRANGE(""https://docs.google.com/spreadsheets/d/19vJNZY_5yjcGF2XGBMNZRCAIB0Kwfpjp8YEOfu-bneM/edit?usp=sharing"",""งานกองทุน!H43"")"),407)</f>
        <v>407</v>
      </c>
      <c r="J824" s="863">
        <f ca="1">IFERROR(__xludf.DUMMYFUNCTION("IMPORTRANGE(""https://docs.google.com/spreadsheets/d/19vJNZY_5yjcGF2XGBMNZRCAIB0Kwfpjp8YEOfu-bneM/edit?usp=sharing"",""งานกองทุน!J43"")"),139)</f>
        <v>139</v>
      </c>
      <c r="K824" s="864">
        <f t="shared" ca="1" si="336"/>
        <v>34.152334152334156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IFERROR(__xludf.DUMMYFUNCTION("IMPORTRANGE(""https://docs.google.com/spreadsheets/d/19vJNZY_5yjcGF2XGBMNZRCAIB0Kwfpjp8YEOfu-bneM/edit?usp=sharing"",""งานกองทุน!N43"")"),6779.25)</f>
        <v>6779.25</v>
      </c>
      <c r="J825" s="863">
        <f ca="1">IFERROR(__xludf.DUMMYFUNCTION("IMPORTRANGE(""https://docs.google.com/spreadsheets/d/19vJNZY_5yjcGF2XGBMNZRCAIB0Kwfpjp8YEOfu-bneM/edit?usp=sharing"",""งานกองทุน!P43"")"),5309.25)</f>
        <v>5309.25</v>
      </c>
      <c r="K825" s="864">
        <f t="shared" ca="1" si="336"/>
        <v>78.316185418741014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IFERROR(__xludf.DUMMYFUNCTION("IMPORTRANGE(""https://docs.google.com/spreadsheets/d/19vJNZY_5yjcGF2XGBMNZRCAIB0Kwfpjp8YEOfu-bneM/edit?usp=sharing"",""งานกองทุน!M43"")"),4)</f>
        <v>4</v>
      </c>
      <c r="J826" s="863">
        <f ca="1">IFERROR(__xludf.DUMMYFUNCTION("IMPORTRANGE(""https://docs.google.com/spreadsheets/d/19vJNZY_5yjcGF2XGBMNZRCAIB0Kwfpjp8YEOfu-bneM/edit?usp=sharing"",""งานกองทุน!O43"")"),3)</f>
        <v>3</v>
      </c>
      <c r="K826" s="864">
        <f t="shared" ca="1" si="336"/>
        <v>75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IFERROR(__xludf.DUMMYFUNCTION("IMPORTRANGE(""https://docs.google.com/spreadsheets/d/19vJNZY_5yjcGF2XGBMNZRCAIB0Kwfpjp8YEOfu-bneM/edit?usp=sharing"",""งานกองทุน!S43"")"),13430000)</f>
        <v>13430000</v>
      </c>
      <c r="J827" s="863">
        <f ca="1">IFERROR(__xludf.DUMMYFUNCTION("IMPORTRANGE(""https://docs.google.com/spreadsheets/d/19vJNZY_5yjcGF2XGBMNZRCAIB0Kwfpjp8YEOfu-bneM/edit?usp=sharing"",""งานกองทุน!U43"")"),7300000)</f>
        <v>7300000</v>
      </c>
      <c r="K827" s="864">
        <f t="shared" ca="1" si="336"/>
        <v>54.355919583023081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IFERROR(__xludf.DUMMYFUNCTION("IMPORTRANGE(""https://docs.google.com/spreadsheets/d/19vJNZY_5yjcGF2XGBMNZRCAIB0Kwfpjp8YEOfu-bneM/edit?usp=sharing"",""งานกองทุน!R43"")"),537)</f>
        <v>537</v>
      </c>
      <c r="J828" s="1117">
        <f ca="1">IFERROR(__xludf.DUMMYFUNCTION("IMPORTRANGE(""https://docs.google.com/spreadsheets/d/19vJNZY_5yjcGF2XGBMNZRCAIB0Kwfpjp8YEOfu-bneM/edit?usp=sharing"",""งานกองทุน!T43"")"),146)</f>
        <v>146</v>
      </c>
      <c r="K828" s="1215">
        <f t="shared" ca="1" si="336"/>
        <v>27.18808193668529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F53E-BA89-48F2-9CD6-7504F8573DF8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2" width="23" style="836" bestFit="1" customWidth="1"/>
    <col min="13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349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11580154</v>
      </c>
      <c r="M8" s="850">
        <f t="shared" ca="1" si="0"/>
        <v>7178507.9299999997</v>
      </c>
      <c r="N8" s="850">
        <f t="shared" ca="1" si="0"/>
        <v>5699546.2599999998</v>
      </c>
      <c r="O8" s="850">
        <f t="shared" ref="O8:O16" ca="1" si="1">IF(L8&gt;0,N8*100/L8,0)</f>
        <v>49.218225077144915</v>
      </c>
      <c r="P8" s="850">
        <f t="shared" ref="P8:P16" ca="1" si="2">IF(M8&gt;0,N8*100/M8,0)</f>
        <v>79.397366633542191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11580154</v>
      </c>
      <c r="M10" s="857">
        <f t="shared" ca="1" si="3"/>
        <v>7178507.9299999997</v>
      </c>
      <c r="N10" s="857">
        <f t="shared" ca="1" si="3"/>
        <v>5699546.2599999998</v>
      </c>
      <c r="O10" s="857">
        <f t="shared" ca="1" si="1"/>
        <v>49.218225077144915</v>
      </c>
      <c r="P10" s="857">
        <f t="shared" ca="1" si="2"/>
        <v>79.397366633542191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7439754</v>
      </c>
      <c r="M11" s="864">
        <f t="shared" ca="1" si="4"/>
        <v>4122813.12</v>
      </c>
      <c r="N11" s="864">
        <f t="shared" ca="1" si="4"/>
        <v>2643851.4500000002</v>
      </c>
      <c r="O11" s="864">
        <f t="shared" ca="1" si="1"/>
        <v>35.536812776336426</v>
      </c>
      <c r="P11" s="864">
        <f t="shared" ca="1" si="2"/>
        <v>64.12736578271101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7439754</v>
      </c>
      <c r="M13" s="870">
        <f t="shared" ca="1" si="5"/>
        <v>4122813.12</v>
      </c>
      <c r="N13" s="870">
        <f t="shared" ca="1" si="5"/>
        <v>2643851.4500000002</v>
      </c>
      <c r="O13" s="870">
        <f t="shared" ca="1" si="1"/>
        <v>35.536812776336426</v>
      </c>
      <c r="P13" s="870">
        <f t="shared" ca="1" si="2"/>
        <v>64.12736578271101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4140400</v>
      </c>
      <c r="M14" s="864">
        <f t="shared" ca="1" si="6"/>
        <v>3055694.81</v>
      </c>
      <c r="N14" s="864">
        <f t="shared" ca="1" si="6"/>
        <v>3055694.81</v>
      </c>
      <c r="O14" s="864">
        <f t="shared" ca="1" si="1"/>
        <v>73.801922761085891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4140400</v>
      </c>
      <c r="M16" s="876">
        <f t="shared" ca="1" si="7"/>
        <v>3055694.81</v>
      </c>
      <c r="N16" s="876">
        <f t="shared" ca="1" si="7"/>
        <v>3055694.81</v>
      </c>
      <c r="O16" s="876">
        <f t="shared" ca="1" si="1"/>
        <v>73.801922761085891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9264283</v>
      </c>
      <c r="M18" s="850">
        <f t="shared" ca="1" si="8"/>
        <v>7178507.9299999997</v>
      </c>
      <c r="N18" s="850">
        <f t="shared" ca="1" si="8"/>
        <v>5380116.2599999998</v>
      </c>
      <c r="O18" s="850">
        <f t="shared" ref="O18:O26" ca="1" si="9">IF(L18&gt;0,N18*100/L18,0)</f>
        <v>58.073746883595845</v>
      </c>
      <c r="P18" s="850">
        <f t="shared" ref="P18:P26" ca="1" si="10">IF(M18&gt;0,N18*100/M18,0)</f>
        <v>74.947556128143759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9264283</v>
      </c>
      <c r="M20" s="857">
        <f t="shared" ca="1" si="11"/>
        <v>7178507.9299999997</v>
      </c>
      <c r="N20" s="857">
        <f t="shared" ca="1" si="11"/>
        <v>5380116.2599999998</v>
      </c>
      <c r="O20" s="857">
        <f t="shared" ca="1" si="9"/>
        <v>58.073746883595845</v>
      </c>
      <c r="P20" s="857">
        <f t="shared" ca="1" si="10"/>
        <v>74.947556128143759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5123883</v>
      </c>
      <c r="M21" s="864">
        <f t="shared" ca="1" si="12"/>
        <v>4122813.12</v>
      </c>
      <c r="N21" s="864">
        <f t="shared" ca="1" si="12"/>
        <v>2324421.4500000002</v>
      </c>
      <c r="O21" s="864">
        <f t="shared" ca="1" si="9"/>
        <v>45.364452115709909</v>
      </c>
      <c r="P21" s="864">
        <f t="shared" ca="1" si="10"/>
        <v>56.379500655125504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5123883</v>
      </c>
      <c r="M23" s="870">
        <f t="shared" ca="1" si="13"/>
        <v>4122813.12</v>
      </c>
      <c r="N23" s="870">
        <f t="shared" ca="1" si="13"/>
        <v>2324421.4500000002</v>
      </c>
      <c r="O23" s="870">
        <f t="shared" ca="1" si="9"/>
        <v>45.364452115709909</v>
      </c>
      <c r="P23" s="870">
        <f t="shared" ca="1" si="10"/>
        <v>56.379500655125504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4140400</v>
      </c>
      <c r="M24" s="864">
        <f t="shared" ca="1" si="14"/>
        <v>3055694.81</v>
      </c>
      <c r="N24" s="864">
        <f t="shared" ca="1" si="14"/>
        <v>3055694.81</v>
      </c>
      <c r="O24" s="864">
        <f t="shared" ca="1" si="9"/>
        <v>73.801922761085891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4140400</v>
      </c>
      <c r="M26" s="876">
        <f t="shared" ca="1" si="15"/>
        <v>3055694.81</v>
      </c>
      <c r="N26" s="876">
        <f t="shared" ca="1" si="15"/>
        <v>3055694.81</v>
      </c>
      <c r="O26" s="876">
        <f t="shared" ca="1" si="9"/>
        <v>73.801922761085891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2315871</v>
      </c>
      <c r="M28" s="850">
        <f t="shared" si="16"/>
        <v>0</v>
      </c>
      <c r="N28" s="850">
        <f t="shared" si="16"/>
        <v>319430</v>
      </c>
      <c r="O28" s="850">
        <f t="shared" ref="O28:O37" ca="1" si="17">IF(L28&gt;0,N28*100/L28,0)</f>
        <v>13.79308260261474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2315871</v>
      </c>
      <c r="M30" s="857">
        <f t="shared" si="19"/>
        <v>0</v>
      </c>
      <c r="N30" s="857">
        <f t="shared" si="19"/>
        <v>319430</v>
      </c>
      <c r="O30" s="857">
        <f t="shared" ca="1" si="17"/>
        <v>13.79308260261474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2315871</v>
      </c>
      <c r="M31" s="864">
        <f t="shared" si="20"/>
        <v>0</v>
      </c>
      <c r="N31" s="864">
        <f t="shared" si="20"/>
        <v>319430</v>
      </c>
      <c r="O31" s="864">
        <f t="shared" ca="1" si="17"/>
        <v>13.79308260261474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2315871</v>
      </c>
      <c r="M33" s="870">
        <f t="shared" si="21"/>
        <v>0</v>
      </c>
      <c r="N33" s="870">
        <f t="shared" si="21"/>
        <v>319430</v>
      </c>
      <c r="O33" s="870">
        <f t="shared" ca="1" si="17"/>
        <v>13.79308260261474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9264283</v>
      </c>
      <c r="M37" s="883">
        <f t="shared" ca="1" si="24"/>
        <v>7178507.9299999997</v>
      </c>
      <c r="N37" s="883">
        <f t="shared" ca="1" si="24"/>
        <v>5380116.2600000007</v>
      </c>
      <c r="O37" s="883">
        <f t="shared" ca="1" si="17"/>
        <v>58.073746883595859</v>
      </c>
      <c r="P37" s="883">
        <f t="shared" ca="1" si="18"/>
        <v>74.947556128143773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704288</v>
      </c>
      <c r="M41" s="908">
        <f t="shared" ca="1" si="25"/>
        <v>717448.12</v>
      </c>
      <c r="N41" s="908">
        <f t="shared" ca="1" si="25"/>
        <v>390902.66</v>
      </c>
      <c r="O41" s="908">
        <f t="shared" ref="O41:O49" ca="1" si="26">IF(L41&gt;0,N41*100/L41,0)</f>
        <v>55.503240151756103</v>
      </c>
      <c r="P41" s="908">
        <f t="shared" ref="P41:P49" ca="1" si="27">IF(M41&gt;0,N41*100/M41,0)</f>
        <v>54.485146605443752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704288</v>
      </c>
      <c r="M43" s="914">
        <f t="shared" ca="1" si="28"/>
        <v>717448.12</v>
      </c>
      <c r="N43" s="914">
        <f t="shared" ca="1" si="28"/>
        <v>390902.66</v>
      </c>
      <c r="O43" s="914">
        <f t="shared" ca="1" si="26"/>
        <v>55.503240151756103</v>
      </c>
      <c r="P43" s="914">
        <f t="shared" ca="1" si="27"/>
        <v>54.485146605443752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704288</v>
      </c>
      <c r="M44" s="864">
        <f t="shared" ca="1" si="29"/>
        <v>717448.12</v>
      </c>
      <c r="N44" s="864">
        <f t="shared" ca="1" si="29"/>
        <v>390902.66</v>
      </c>
      <c r="O44" s="864">
        <f t="shared" ca="1" si="26"/>
        <v>55.503240151756103</v>
      </c>
      <c r="P44" s="864">
        <f t="shared" ca="1" si="27"/>
        <v>54.485146605443752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IFERROR(__xludf.DUMMYFUNCTION("IMPORTRANGE(""https://docs.google.com/spreadsheets/d/1MeEWN-I1oV_STSDYn1IFDPWt_1FKiwhDph83XaGc0o0/edit?usp=sharing"",""งบพรบ!M44"")"),704288)</f>
        <v>704288</v>
      </c>
      <c r="M46" s="870">
        <f ca="1">IFERROR(__xludf.DUMMYFUNCTION("IMPORTRANGE(""https://docs.google.com/spreadsheets/d/1MeEWN-I1oV_STSDYn1IFDPWt_1FKiwhDph83XaGc0o0/edit?usp=sharing"",""งบพรบ!R44"")"),717448.12)</f>
        <v>717448.12</v>
      </c>
      <c r="N46" s="870">
        <f ca="1">IFERROR(__xludf.DUMMYFUNCTION("IMPORTRANGE(""https://docs.google.com/spreadsheets/d/1MeEWN-I1oV_STSDYn1IFDPWt_1FKiwhDph83XaGc0o0/edit?usp=sharing"",""งบพรบ!T44"")"),390902.66)</f>
        <v>390902.66</v>
      </c>
      <c r="O46" s="870">
        <f t="shared" ca="1" si="26"/>
        <v>55.503240151756103</v>
      </c>
      <c r="P46" s="870">
        <f t="shared" ca="1" si="27"/>
        <v>54.485146605443752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IFERROR(__xludf.DUMMYFUNCTION("IMPORTRANGE(""https://docs.google.com/spreadsheets/d/1MeEWN-I1oV_STSDYn1IFDPWt_1FKiwhDph83XaGc0o0/edit?usp=sharing"",""งบพรบ!P44"")"),0)</f>
        <v>0</v>
      </c>
      <c r="M49" s="876">
        <f ca="1">IFERROR(__xludf.DUMMYFUNCTION("IMPORTRANGE(""https://docs.google.com/spreadsheets/d/1MeEWN-I1oV_STSDYn1IFDPWt_1FKiwhDph83XaGc0o0/edit?usp=sharing"",""งบพรบ!S44"")"),0)</f>
        <v>0</v>
      </c>
      <c r="N49" s="876">
        <f ca="1">IFERROR(__xludf.DUMMYFUNCTION("IMPORTRANGE(""https://docs.google.com/spreadsheets/d/1MeEWN-I1oV_STSDYn1IFDPWt_1FKiwhDph83XaGc0o0/edit?usp=sharing"",""งบพรบ!U44"")"),0)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4849400</v>
      </c>
      <c r="M53" s="936">
        <f t="shared" ca="1" si="31"/>
        <v>3556544.81</v>
      </c>
      <c r="N53" s="936">
        <f t="shared" ca="1" si="31"/>
        <v>3402940.17</v>
      </c>
      <c r="O53" s="936">
        <f t="shared" ref="O53:O61" ca="1" si="32">IF(L53&gt;0,N53*100/L53,0)</f>
        <v>70.172395966511317</v>
      </c>
      <c r="P53" s="936">
        <f t="shared" ref="P53:P61" ca="1" si="33">IF(M53&gt;0,N53*100/M53,0)</f>
        <v>95.681071146127351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4849400</v>
      </c>
      <c r="M55" s="942">
        <f t="shared" ca="1" si="34"/>
        <v>3556544.81</v>
      </c>
      <c r="N55" s="942">
        <f t="shared" ca="1" si="34"/>
        <v>3402940.17</v>
      </c>
      <c r="O55" s="942">
        <f t="shared" ca="1" si="32"/>
        <v>70.172395966511317</v>
      </c>
      <c r="P55" s="942">
        <f t="shared" ca="1" si="33"/>
        <v>95.681071146127351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835400</v>
      </c>
      <c r="M56" s="864">
        <f t="shared" ca="1" si="35"/>
        <v>626550</v>
      </c>
      <c r="N56" s="864">
        <f t="shared" ca="1" si="35"/>
        <v>472945.36</v>
      </c>
      <c r="O56" s="864">
        <f t="shared" ca="1" si="32"/>
        <v>56.613042853722767</v>
      </c>
      <c r="P56" s="864">
        <f t="shared" ca="1" si="33"/>
        <v>75.484057138297018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IFERROR(__xludf.DUMMYFUNCTION("IMPORTRANGE(""https://docs.google.com/spreadsheets/d/1MeEWN-I1oV_STSDYn1IFDPWt_1FKiwhDph83XaGc0o0/edit?usp=sharing"",""งบพรบ!W44"")"),835400)</f>
        <v>835400</v>
      </c>
      <c r="M58" s="870">
        <f ca="1">IFERROR(__xludf.DUMMYFUNCTION("IMPORTRANGE(""https://docs.google.com/spreadsheets/d/1MeEWN-I1oV_STSDYn1IFDPWt_1FKiwhDph83XaGc0o0/edit?usp=sharing"",""งบพรบ!AB44"")"),626550)</f>
        <v>626550</v>
      </c>
      <c r="N58" s="870">
        <f ca="1">IFERROR(__xludf.DUMMYFUNCTION("IMPORTRANGE(""https://docs.google.com/spreadsheets/d/1MeEWN-I1oV_STSDYn1IFDPWt_1FKiwhDph83XaGc0o0/edit?usp=sharing"",""งบพรบ!AD44"")"),472945.36)</f>
        <v>472945.36</v>
      </c>
      <c r="O58" s="870">
        <f t="shared" ca="1" si="32"/>
        <v>56.613042853722767</v>
      </c>
      <c r="P58" s="870">
        <f t="shared" ca="1" si="33"/>
        <v>75.484057138297018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4014000</v>
      </c>
      <c r="M59" s="864">
        <f t="shared" ca="1" si="36"/>
        <v>2929994.81</v>
      </c>
      <c r="N59" s="864">
        <f t="shared" ca="1" si="36"/>
        <v>2929994.81</v>
      </c>
      <c r="O59" s="864">
        <f t="shared" ca="1" si="32"/>
        <v>72.994389885401091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IFERROR(__xludf.DUMMYFUNCTION("IMPORTRANGE(""https://docs.google.com/spreadsheets/d/1MeEWN-I1oV_STSDYn1IFDPWt_1FKiwhDph83XaGc0o0/edit?usp=sharing"",""งบพรบ!Z44"")"),4014000)</f>
        <v>4014000</v>
      </c>
      <c r="M61" s="876">
        <f ca="1">IFERROR(__xludf.DUMMYFUNCTION("IMPORTRANGE(""https://docs.google.com/spreadsheets/d/1MeEWN-I1oV_STSDYn1IFDPWt_1FKiwhDph83XaGc0o0/edit?usp=sharing"",""งบพรบ!AC44"")"),2929994.81)</f>
        <v>2929994.81</v>
      </c>
      <c r="N61" s="876">
        <f ca="1">IFERROR(__xludf.DUMMYFUNCTION("IMPORTRANGE(""https://docs.google.com/spreadsheets/d/1MeEWN-I1oV_STSDYn1IFDPWt_1FKiwhDph83XaGc0o0/edit?usp=sharing"",""งบพรบ!AE44"")"),2929994.81)</f>
        <v>2929994.81</v>
      </c>
      <c r="O61" s="876">
        <f t="shared" ca="1" si="32"/>
        <v>72.994389885401091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71</v>
      </c>
      <c r="J65" s="962">
        <f t="shared" si="37"/>
        <v>71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937300</v>
      </c>
      <c r="M66" s="972">
        <f t="shared" ca="1" si="39"/>
        <v>747630</v>
      </c>
      <c r="N66" s="972">
        <f t="shared" ca="1" si="39"/>
        <v>520068.23</v>
      </c>
      <c r="O66" s="972">
        <f t="shared" ref="O66:O74" ca="1" si="40">IF(L66&gt;0,N66*100/L66,0)</f>
        <v>55.485781500053342</v>
      </c>
      <c r="P66" s="972">
        <f t="shared" ref="P66:P74" ca="1" si="41">IF(M66&gt;0,N66*100/M66,0)</f>
        <v>69.562247368350654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937300</v>
      </c>
      <c r="M68" s="870">
        <f t="shared" ca="1" si="42"/>
        <v>747630</v>
      </c>
      <c r="N68" s="870">
        <f t="shared" ca="1" si="42"/>
        <v>520068.23</v>
      </c>
      <c r="O68" s="870">
        <f t="shared" ca="1" si="40"/>
        <v>55.485781500053342</v>
      </c>
      <c r="P68" s="870">
        <f t="shared" ca="1" si="41"/>
        <v>69.562247368350654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937300</v>
      </c>
      <c r="M69" s="864">
        <f t="shared" ca="1" si="43"/>
        <v>747630</v>
      </c>
      <c r="N69" s="864">
        <f t="shared" ca="1" si="43"/>
        <v>520068.23</v>
      </c>
      <c r="O69" s="864">
        <f t="shared" ca="1" si="40"/>
        <v>55.485781500053342</v>
      </c>
      <c r="P69" s="864">
        <f t="shared" ca="1" si="41"/>
        <v>69.562247368350654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IFERROR(__xludf.DUMMYFUNCTION("IMPORTRANGE(""https://docs.google.com/spreadsheets/d/1MeEWN-I1oV_STSDYn1IFDPWt_1FKiwhDph83XaGc0o0/edit?usp=sharing"",""งบพรบ!AG44"")"),937300)</f>
        <v>937300</v>
      </c>
      <c r="M71" s="870">
        <f ca="1">IFERROR(__xludf.DUMMYFUNCTION("IMPORTRANGE(""https://docs.google.com/spreadsheets/d/1MeEWN-I1oV_STSDYn1IFDPWt_1FKiwhDph83XaGc0o0/edit?usp=sharing"",""งบพรบ!AL44"")"),747630)</f>
        <v>747630</v>
      </c>
      <c r="N71" s="870">
        <f ca="1">IFERROR(__xludf.DUMMYFUNCTION("IMPORTRANGE(""https://docs.google.com/spreadsheets/d/1MeEWN-I1oV_STSDYn1IFDPWt_1FKiwhDph83XaGc0o0/edit?usp=sharing"",""งบพรบ!AN44"")"),520068.23)</f>
        <v>520068.23</v>
      </c>
      <c r="O71" s="870">
        <f t="shared" ca="1" si="40"/>
        <v>55.485781500053342</v>
      </c>
      <c r="P71" s="870">
        <f t="shared" ca="1" si="41"/>
        <v>69.562247368350654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IFERROR(__xludf.DUMMYFUNCTION("IMPORTRANGE(""https://docs.google.com/spreadsheets/d/1MeEWN-I1oV_STSDYn1IFDPWt_1FKiwhDph83XaGc0o0/edit?usp=sharing"",""งบพรบ!AJ44"")"),0)</f>
        <v>0</v>
      </c>
      <c r="M74" s="870">
        <f ca="1">IFERROR(__xludf.DUMMYFUNCTION("IMPORTRANGE(""https://docs.google.com/spreadsheets/d/1MeEWN-I1oV_STSDYn1IFDPWt_1FKiwhDph83XaGc0o0/edit?usp=sharing"",""งบพรบ!AM44"")"),0)</f>
        <v>0</v>
      </c>
      <c r="N74" s="870">
        <f ca="1">IFERROR(__xludf.DUMMYFUNCTION("IMPORTRANGE(""https://docs.google.com/spreadsheets/d/1MeEWN-I1oV_STSDYn1IFDPWt_1FKiwhDph83XaGc0o0/edit?usp=sharing"",""งบพรบ!AO44"")"),0)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71</v>
      </c>
      <c r="J77" s="863">
        <f t="shared" si="45"/>
        <v>71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IFERROR(__xludf.DUMMYFUNCTION("IMPORTRANGE(""https://docs.google.com/spreadsheets/d/1QqKyyYR6Q21VydFLVH3TRQUabQu_ym0Zz7PgGX0-kHA/edit?usp=sharing"",""แผน!H44"")"),0)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IFERROR(__xludf.DUMMYFUNCTION("IMPORTRANGE(""https://docs.google.com/spreadsheets/d/1QqKyyYR6Q21VydFLVH3TRQUabQu_ym0Zz7PgGX0-kHA/edit?usp=sharing"",""แผน!I44"")"),0)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IFERROR(__xludf.DUMMYFUNCTION("IMPORTRANGE(""https://docs.google.com/spreadsheets/d/1QqKyyYR6Q21VydFLVH3TRQUabQu_ym0Zz7PgGX0-kHA/edit?usp=sharing"",""แผน!F44"")"),0)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IFERROR(__xludf.DUMMYFUNCTION("IMPORTRANGE(""https://docs.google.com/spreadsheets/d/1QqKyyYR6Q21VydFLVH3TRQUabQu_ym0Zz7PgGX0-kHA/edit?usp=sharing"",""แผน!G44"")"),0)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IFERROR(__xludf.DUMMYFUNCTION("IMPORTRANGE(""https://docs.google.com/spreadsheets/d/1QqKyyYR6Q21VydFLVH3TRQUabQu_ym0Zz7PgGX0-kHA/edit?usp=sharing"",""แผน!D44"")"),1)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IFERROR(__xludf.DUMMYFUNCTION("IMPORTRANGE(""https://docs.google.com/spreadsheets/d/1QqKyyYR6Q21VydFLVH3TRQUabQu_ym0Zz7PgGX0-kHA/edit?usp=sharing"",""แผน!E44"")"),71)</f>
        <v>71</v>
      </c>
      <c r="J83" s="992">
        <v>71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IFERROR(__xludf.DUMMYFUNCTION("IMPORTRANGE(""https://docs.google.com/spreadsheets/d/1QqKyyYR6Q21VydFLVH3TRQUabQu_ym0Zz7PgGX0-kHA/edit?usp=sharing"",""แผน!J44"")"),1)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45</v>
      </c>
      <c r="J86" s="962">
        <f t="shared" si="47"/>
        <v>45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15</v>
      </c>
      <c r="J87" s="962">
        <f t="shared" si="47"/>
        <v>15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38860</v>
      </c>
      <c r="M88" s="972">
        <f t="shared" ca="1" si="49"/>
        <v>34360</v>
      </c>
      <c r="N88" s="972">
        <f t="shared" ca="1" si="49"/>
        <v>32610</v>
      </c>
      <c r="O88" s="972">
        <f t="shared" ref="O88:O96" ca="1" si="50">IF(L88&gt;0,N88*100/L88,0)</f>
        <v>83.916623777663403</v>
      </c>
      <c r="P88" s="972">
        <f t="shared" ref="P88:P96" ca="1" si="51">IF(M88&gt;0,N88*100/M88,0)</f>
        <v>94.906868451688013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38860</v>
      </c>
      <c r="M90" s="870">
        <f t="shared" ca="1" si="52"/>
        <v>34360</v>
      </c>
      <c r="N90" s="870">
        <f t="shared" ca="1" si="52"/>
        <v>32610</v>
      </c>
      <c r="O90" s="870">
        <f t="shared" ca="1" si="50"/>
        <v>83.916623777663403</v>
      </c>
      <c r="P90" s="870">
        <f t="shared" ca="1" si="51"/>
        <v>94.906868451688013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38860</v>
      </c>
      <c r="M91" s="864">
        <f t="shared" ca="1" si="53"/>
        <v>34360</v>
      </c>
      <c r="N91" s="864">
        <f t="shared" ca="1" si="53"/>
        <v>32610</v>
      </c>
      <c r="O91" s="864">
        <f t="shared" ca="1" si="50"/>
        <v>83.916623777663403</v>
      </c>
      <c r="P91" s="864">
        <f t="shared" ca="1" si="51"/>
        <v>94.906868451688013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IFERROR(__xludf.DUMMYFUNCTION("IMPORTRANGE(""https://docs.google.com/spreadsheets/d/1MeEWN-I1oV_STSDYn1IFDPWt_1FKiwhDph83XaGc0o0/edit?usp=sharing"",""งบพรบ!AQ44"")"),38860)</f>
        <v>38860</v>
      </c>
      <c r="M93" s="870">
        <f ca="1">IFERROR(__xludf.DUMMYFUNCTION("IMPORTRANGE(""https://docs.google.com/spreadsheets/d/1MeEWN-I1oV_STSDYn1IFDPWt_1FKiwhDph83XaGc0o0/edit?usp=sharing"",""งบพรบ!AV44"")"),34360)</f>
        <v>34360</v>
      </c>
      <c r="N93" s="870">
        <f ca="1">IFERROR(__xludf.DUMMYFUNCTION("IMPORTRANGE(""https://docs.google.com/spreadsheets/d/1MeEWN-I1oV_STSDYn1IFDPWt_1FKiwhDph83XaGc0o0/edit?usp=sharing"",""งบพรบ!AX44"")"),32610)</f>
        <v>32610</v>
      </c>
      <c r="O93" s="870">
        <f t="shared" ca="1" si="50"/>
        <v>83.916623777663403</v>
      </c>
      <c r="P93" s="870">
        <f t="shared" ca="1" si="51"/>
        <v>94.906868451688013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IFERROR(__xludf.DUMMYFUNCTION("IMPORTRANGE(""https://docs.google.com/spreadsheets/d/1MeEWN-I1oV_STSDYn1IFDPWt_1FKiwhDph83XaGc0o0/edit?usp=sharing"",""งบพรบ!AT44"")"),0)</f>
        <v>0</v>
      </c>
      <c r="M96" s="870">
        <f ca="1">IFERROR(__xludf.DUMMYFUNCTION("IMPORTRANGE(""https://docs.google.com/spreadsheets/d/1MeEWN-I1oV_STSDYn1IFDPWt_1FKiwhDph83XaGc0o0/edit?usp=sharing"",""งบพรบ!AW44"")"),0)</f>
        <v>0</v>
      </c>
      <c r="N96" s="870">
        <f ca="1">IFERROR(__xludf.DUMMYFUNCTION("IMPORTRANGE(""https://docs.google.com/spreadsheets/d/1MeEWN-I1oV_STSDYn1IFDPWt_1FKiwhDph83XaGc0o0/edit?usp=sharing"",""งบพรบ!AY44"")"),0)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IFERROR(__xludf.DUMMYFUNCTION("IMPORTRANGE(""https://docs.google.com/spreadsheets/d/1QqKyyYR6Q21VydFLVH3TRQUabQu_ym0Zz7PgGX0-kHA/edit?usp=sharing"",""แผน!K44"")"),45)</f>
        <v>45</v>
      </c>
      <c r="J98" s="863">
        <f>J102</f>
        <v>45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IFERROR(__xludf.DUMMYFUNCTION("IMPORTRANGE(""https://docs.google.com/spreadsheets/d/1QqKyyYR6Q21VydFLVH3TRQUabQu_ym0Zz7PgGX0-kHA/edit?usp=sharing"",""แผน!L44"")"),15)</f>
        <v>15</v>
      </c>
      <c r="J99" s="863">
        <f>J104</f>
        <v>15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IFERROR(__xludf.DUMMYFUNCTION("IMPORTRANGE(""https://docs.google.com/spreadsheets/d/1QqKyyYR6Q21VydFLVH3TRQUabQu_ym0Zz7PgGX0-kHA/edit?usp=sharing"",""แผน!M44"")"),0)</f>
        <v>0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IFERROR(__xludf.DUMMYFUNCTION("IMPORTRANGE(""https://docs.google.com/spreadsheets/d/1QqKyyYR6Q21VydFLVH3TRQUabQu_ym0Zz7PgGX0-kHA/edit?usp=sharing"",""แผน!N44"")"),45)</f>
        <v>45</v>
      </c>
      <c r="J102" s="992">
        <v>45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IFERROR(__xludf.DUMMYFUNCTION("IMPORTRANGE(""https://docs.google.com/spreadsheets/d/1QqKyyYR6Q21VydFLVH3TRQUabQu_ym0Zz7PgGX0-kHA/edit?usp=sharing"",""แผน!O44"")"),15)</f>
        <v>15</v>
      </c>
      <c r="J103" s="992">
        <v>15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IFERROR(__xludf.DUMMYFUNCTION("IMPORTRANGE(""https://docs.google.com/spreadsheets/d/1QqKyyYR6Q21VydFLVH3TRQUabQu_ym0Zz7PgGX0-kHA/edit?usp=sharing"",""แผน!O44"")"),15)</f>
        <v>15</v>
      </c>
      <c r="J104" s="992">
        <v>15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IFERROR(__xludf.DUMMYFUNCTION("IMPORTRANGE(""https://docs.google.com/spreadsheets/d/1QqKyyYR6Q21VydFLVH3TRQUabQu_ym0Zz7PgGX0-kHA/edit?usp=sharing"",""แผน!P44"")"),0)</f>
        <v>0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IFERROR(__xludf.DUMMYFUNCTION("IMPORTRANGE(""https://docs.google.com/spreadsheets/d/1QqKyyYR6Q21VydFLVH3TRQUabQu_ym0Zz7PgGX0-kHA/edit?usp=sharing"",""แผน!P44"")"),0)</f>
        <v>0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IFERROR(__xludf.DUMMYFUNCTION("IMPORTRANGE(""https://docs.google.com/spreadsheets/d/1QqKyyYR6Q21VydFLVH3TRQUabQu_ym0Zz7PgGX0-kHA/edit?usp=sharing"",""แผน!Q44"")"),0)</f>
        <v>0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IFERROR(__xludf.DUMMYFUNCTION("IMPORTRANGE(""https://docs.google.com/spreadsheets/d/1QqKyyYR6Q21VydFLVH3TRQUabQu_ym0Zz7PgGX0-kHA/edit?usp=sharing"",""แผน!Q44"")"),0)</f>
        <v>0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IFERROR(__xludf.DUMMYFUNCTION("IMPORTRANGE(""https://docs.google.com/spreadsheets/d/1QqKyyYR6Q21VydFLVH3TRQUabQu_ym0Zz7PgGX0-kHA/edit?usp=sharing"",""แผน!R44"")"),15)</f>
        <v>15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0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IFERROR(__xludf.DUMMYFUNCTION("IMPORTRANGE(""https://docs.google.com/spreadsheets/d/1QqKyyYR6Q21VydFLVH3TRQUabQu_ym0Zz7PgGX0-kHA/edit?usp=sharing"",""แผน!R44"")"),15)</f>
        <v>15</v>
      </c>
      <c r="J113" s="992"/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IFERROR(__xludf.DUMMYFUNCTION("IMPORTRANGE(""https://docs.google.com/spreadsheets/d/1QqKyyYR6Q21VydFLVH3TRQUabQu_ym0Zz7PgGX0-kHA/edit?usp=sharing"",""แผน!R44"")"),15)</f>
        <v>15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IFERROR(__xludf.DUMMYFUNCTION("IMPORTRANGE(""https://docs.google.com/spreadsheets/d/1QqKyyYR6Q21VydFLVH3TRQUabQu_ym0Zz7PgGX0-kHA/edit?usp=sharing"",""แผน!S44"")"),0)</f>
        <v>0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IFERROR(__xludf.DUMMYFUNCTION("IMPORTRANGE(""https://docs.google.com/spreadsheets/d/1QqKyyYR6Q21VydFLVH3TRQUabQu_ym0Zz7PgGX0-kHA/edit?usp=sharing"",""แผน!T44"")"),0)</f>
        <v>0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IFERROR(__xludf.DUMMYFUNCTION("IMPORTRANGE(""https://docs.google.com/spreadsheets/d/1MeEWN-I1oV_STSDYn1IFDPWt_1FKiwhDph83XaGc0o0/edit?usp=sharing"",""งบพรบ!BA44"")"),0)</f>
        <v>0</v>
      </c>
      <c r="M124" s="870">
        <f ca="1">IFERROR(__xludf.DUMMYFUNCTION("IMPORTRANGE(""https://docs.google.com/spreadsheets/d/1MeEWN-I1oV_STSDYn1IFDPWt_1FKiwhDph83XaGc0o0/edit?usp=sharing"",""งบพรบ!BF44"")"),0)</f>
        <v>0</v>
      </c>
      <c r="N124" s="870">
        <f ca="1">IFERROR(__xludf.DUMMYFUNCTION("IMPORTRANGE(""https://docs.google.com/spreadsheets/d/1MeEWN-I1oV_STSDYn1IFDPWt_1FKiwhDph83XaGc0o0/edit?usp=sharing"",""งบพรบ!BH44"")"),0)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IFERROR(__xludf.DUMMYFUNCTION("IMPORTRANGE(""https://docs.google.com/spreadsheets/d/1MeEWN-I1oV_STSDYn1IFDPWt_1FKiwhDph83XaGc0o0/edit?usp=sharing"",""งบพรบ!BD44"")"),0)</f>
        <v>0</v>
      </c>
      <c r="M127" s="870">
        <f ca="1">IFERROR(__xludf.DUMMYFUNCTION("IMPORTRANGE(""https://docs.google.com/spreadsheets/d/1MeEWN-I1oV_STSDYn1IFDPWt_1FKiwhDph83XaGc0o0/edit?usp=sharing"",""งบพรบ!BG44"")"),0)</f>
        <v>0</v>
      </c>
      <c r="N127" s="870">
        <f ca="1">IFERROR(__xludf.DUMMYFUNCTION("IMPORTRANGE(""https://docs.google.com/spreadsheets/d/1MeEWN-I1oV_STSDYn1IFDPWt_1FKiwhDph83XaGc0o0/edit?usp=sharing"",""งบพรบ!BI44"")"),0)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IFERROR(__xludf.DUMMYFUNCTION("IMPORTRANGE(""https://docs.google.com/spreadsheets/d/1MeEWN-I1oV_STSDYn1IFDPWt_1FKiwhDph83XaGc0o0/edit?usp=sharing"",""งบพรบ!BK44"")"),0)</f>
        <v>0</v>
      </c>
      <c r="M137" s="870">
        <f ca="1">IFERROR(__xludf.DUMMYFUNCTION("IMPORTRANGE(""https://docs.google.com/spreadsheets/d/1MeEWN-I1oV_STSDYn1IFDPWt_1FKiwhDph83XaGc0o0/edit?usp=sharing"",""งบพรบ!BP44"")"),0)</f>
        <v>0</v>
      </c>
      <c r="N137" s="870">
        <f ca="1">IFERROR(__xludf.DUMMYFUNCTION("IMPORTRANGE(""https://docs.google.com/spreadsheets/d/1MeEWN-I1oV_STSDYn1IFDPWt_1FKiwhDph83XaGc0o0/edit?usp=sharing"",""งบพรบ!BR44"")"),0)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IFERROR(__xludf.DUMMYFUNCTION("IMPORTRANGE(""https://docs.google.com/spreadsheets/d/1MeEWN-I1oV_STSDYn1IFDPWt_1FKiwhDph83XaGc0o0/edit?usp=sharing"",""งบพรบ!BN44"")"),0)</f>
        <v>0</v>
      </c>
      <c r="M140" s="870">
        <f ca="1">IFERROR(__xludf.DUMMYFUNCTION("IMPORTRANGE(""https://docs.google.com/spreadsheets/d/1MeEWN-I1oV_STSDYn1IFDPWt_1FKiwhDph83XaGc0o0/edit?usp=sharing"",""งบพรบ!BQ44"")"),0)</f>
        <v>0</v>
      </c>
      <c r="N140" s="870">
        <f ca="1">IFERROR(__xludf.DUMMYFUNCTION("IMPORTRANGE(""https://docs.google.com/spreadsheets/d/1MeEWN-I1oV_STSDYn1IFDPWt_1FKiwhDph83XaGc0o0/edit?usp=sharing"",""งบพรบ!BS44"")"),0)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IFERROR(__xludf.DUMMYFUNCTION("IMPORTRANGE(""https://docs.google.com/spreadsheets/d/1QqKyyYR6Q21VydFLVH3TRQUabQu_ym0Zz7PgGX0-kHA/edit?usp=sharing"",""แผน!U44"")"),0)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IFERROR(__xludf.DUMMYFUNCTION("IMPORTRANGE(""https://docs.google.com/spreadsheets/d/1QqKyyYR6Q21VydFLVH3TRQUabQu_ym0Zz7PgGX0-kHA/edit?usp=sharing"",""แผน!V44"")"),0)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IFERROR(__xludf.DUMMYFUNCTION("IMPORTRANGE(""https://docs.google.com/spreadsheets/d/1QqKyyYR6Q21VydFLVH3TRQUabQu_ym0Zz7PgGX0-kHA/edit?usp=sharing"",""แผน!W44"")"),0)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8170</v>
      </c>
      <c r="N149" s="972">
        <f t="shared" ca="1" si="77"/>
        <v>8170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100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8170</v>
      </c>
      <c r="N151" s="870">
        <f t="shared" ca="1" si="80"/>
        <v>8170</v>
      </c>
      <c r="O151" s="870">
        <f t="shared" ca="1" si="78"/>
        <v>0</v>
      </c>
      <c r="P151" s="870">
        <f t="shared" ca="1" si="79"/>
        <v>100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8170</v>
      </c>
      <c r="N152" s="864">
        <f t="shared" ca="1" si="81"/>
        <v>8170</v>
      </c>
      <c r="O152" s="864">
        <f t="shared" ca="1" si="78"/>
        <v>0</v>
      </c>
      <c r="P152" s="864">
        <f t="shared" ca="1" si="79"/>
        <v>100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IFERROR(__xludf.DUMMYFUNCTION("IMPORTRANGE(""https://docs.google.com/spreadsheets/d/1MeEWN-I1oV_STSDYn1IFDPWt_1FKiwhDph83XaGc0o0/edit?usp=sharing"",""งบพรบ!BU44"")"),0)</f>
        <v>0</v>
      </c>
      <c r="M154" s="870">
        <f ca="1">IFERROR(__xludf.DUMMYFUNCTION("IMPORTRANGE(""https://docs.google.com/spreadsheets/d/1MeEWN-I1oV_STSDYn1IFDPWt_1FKiwhDph83XaGc0o0/edit?usp=sharing"",""งบพรบ!BZ44"")"),8170)</f>
        <v>8170</v>
      </c>
      <c r="N154" s="870">
        <f ca="1">IFERROR(__xludf.DUMMYFUNCTION("IMPORTRANGE(""https://docs.google.com/spreadsheets/d/1MeEWN-I1oV_STSDYn1IFDPWt_1FKiwhDph83XaGc0o0/edit?usp=sharing"",""งบพรบ!CB44"")"),8170)</f>
        <v>8170</v>
      </c>
      <c r="O154" s="870">
        <f t="shared" ca="1" si="78"/>
        <v>0</v>
      </c>
      <c r="P154" s="870">
        <f t="shared" ca="1" si="79"/>
        <v>100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IFERROR(__xludf.DUMMYFUNCTION("IMPORTRANGE(""https://docs.google.com/spreadsheets/d/1MeEWN-I1oV_STSDYn1IFDPWt_1FKiwhDph83XaGc0o0/edit?usp=sharing"",""งบพรบ!BX44"")"),0)</f>
        <v>0</v>
      </c>
      <c r="M157" s="870">
        <f ca="1">IFERROR(__xludf.DUMMYFUNCTION("IMPORTRANGE(""https://docs.google.com/spreadsheets/d/1MeEWN-I1oV_STSDYn1IFDPWt_1FKiwhDph83XaGc0o0/edit?usp=sharing"",""งบพรบ!CA44"")"),0)</f>
        <v>0</v>
      </c>
      <c r="N157" s="870">
        <f ca="1">IFERROR(__xludf.DUMMYFUNCTION("IMPORTRANGE(""https://docs.google.com/spreadsheets/d/1MeEWN-I1oV_STSDYn1IFDPWt_1FKiwhDph83XaGc0o0/edit?usp=sharing"",""งบพรบ!CC44"")"),0)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IFERROR(__xludf.DUMMYFUNCTION("IMPORTRANGE(""https://docs.google.com/spreadsheets/d/1QqKyyYR6Q21VydFLVH3TRQUabQu_ym0Zz7PgGX0-kHA/edit?usp=sharing"",""แผน!X44"")"),0)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22055</v>
      </c>
      <c r="N165" s="972">
        <f t="shared" ca="1" si="84"/>
        <v>22055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22055</v>
      </c>
      <c r="N167" s="870">
        <f t="shared" ca="1" si="87"/>
        <v>22055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22055</v>
      </c>
      <c r="N168" s="864">
        <f t="shared" ca="1" si="88"/>
        <v>22055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IFERROR(__xludf.DUMMYFUNCTION("IMPORTRANGE(""https://docs.google.com/spreadsheets/d/1MeEWN-I1oV_STSDYn1IFDPWt_1FKiwhDph83XaGc0o0/edit?usp=sharing"",""งบพรบ!CE44"")"),22055)</f>
        <v>22055</v>
      </c>
      <c r="M170" s="870">
        <f ca="1">IFERROR(__xludf.DUMMYFUNCTION("IMPORTRANGE(""https://docs.google.com/spreadsheets/d/1MeEWN-I1oV_STSDYn1IFDPWt_1FKiwhDph83XaGc0o0/edit?usp=sharing"",""งบพรบ!CJ44"")"),22055)</f>
        <v>22055</v>
      </c>
      <c r="N170" s="870">
        <f ca="1">IFERROR(__xludf.DUMMYFUNCTION("IMPORTRANGE(""https://docs.google.com/spreadsheets/d/1MeEWN-I1oV_STSDYn1IFDPWt_1FKiwhDph83XaGc0o0/edit?usp=sharing"",""งบพรบ!CL44"")"),22055)</f>
        <v>22055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IFERROR(__xludf.DUMMYFUNCTION("IMPORTRANGE(""https://docs.google.com/spreadsheets/d/1MeEWN-I1oV_STSDYn1IFDPWt_1FKiwhDph83XaGc0o0/edit?usp=sharing"",""งบพรบ!CH44"")"),0)</f>
        <v>0</v>
      </c>
      <c r="M173" s="870">
        <f ca="1">IFERROR(__xludf.DUMMYFUNCTION("IMPORTRANGE(""https://docs.google.com/spreadsheets/d/1MeEWN-I1oV_STSDYn1IFDPWt_1FKiwhDph83XaGc0o0/edit?usp=sharing"",""งบพรบ!CK44"")"),0)</f>
        <v>0</v>
      </c>
      <c r="N173" s="870">
        <f ca="1">IFERROR(__xludf.DUMMYFUNCTION("IMPORTRANGE(""https://docs.google.com/spreadsheets/d/1MeEWN-I1oV_STSDYn1IFDPWt_1FKiwhDph83XaGc0o0/edit?usp=sharing"",""งบพรบ!CM44"")"),0)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IFERROR(__xludf.DUMMYFUNCTION("IMPORTRANGE(""https://docs.google.com/spreadsheets/d/1QqKyyYR6Q21VydFLVH3TRQUabQu_ym0Zz7PgGX0-kHA/edit?usp=sharing"",""แผน!Y44"")"),11)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78500</v>
      </c>
      <c r="M181" s="972">
        <f t="shared" ca="1" si="92"/>
        <v>73500</v>
      </c>
      <c r="N181" s="972">
        <f t="shared" ca="1" si="92"/>
        <v>23802</v>
      </c>
      <c r="O181" s="972">
        <f t="shared" ref="O181:O189" ca="1" si="93">IF(L181&gt;0,N181*100/L181,0)</f>
        <v>30.321019108280254</v>
      </c>
      <c r="P181" s="972">
        <f t="shared" ref="P181:P189" ca="1" si="94">IF(M181&gt;0,N181*100/M181,0)</f>
        <v>32.383673469387752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78500</v>
      </c>
      <c r="M183" s="870">
        <f t="shared" ca="1" si="95"/>
        <v>73500</v>
      </c>
      <c r="N183" s="870">
        <f t="shared" ca="1" si="95"/>
        <v>23802</v>
      </c>
      <c r="O183" s="870">
        <f t="shared" ca="1" si="93"/>
        <v>30.321019108280254</v>
      </c>
      <c r="P183" s="870">
        <f t="shared" ca="1" si="94"/>
        <v>32.383673469387752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78500</v>
      </c>
      <c r="M184" s="864">
        <f t="shared" ca="1" si="96"/>
        <v>73500</v>
      </c>
      <c r="N184" s="864">
        <f t="shared" ca="1" si="96"/>
        <v>23802</v>
      </c>
      <c r="O184" s="864">
        <f t="shared" ca="1" si="93"/>
        <v>30.321019108280254</v>
      </c>
      <c r="P184" s="864">
        <f t="shared" ca="1" si="94"/>
        <v>32.383673469387752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IFERROR(__xludf.DUMMYFUNCTION("IMPORTRANGE(""https://docs.google.com/spreadsheets/d/1MeEWN-I1oV_STSDYn1IFDPWt_1FKiwhDph83XaGc0o0/edit?usp=sharing"",""งบพรบ!CO44"")"),78500)</f>
        <v>78500</v>
      </c>
      <c r="M186" s="870">
        <f ca="1">IFERROR(__xludf.DUMMYFUNCTION("IMPORTRANGE(""https://docs.google.com/spreadsheets/d/1MeEWN-I1oV_STSDYn1IFDPWt_1FKiwhDph83XaGc0o0/edit?usp=sharing"",""งบพรบ!CT44"")"),73500)</f>
        <v>73500</v>
      </c>
      <c r="N186" s="870">
        <f ca="1">IFERROR(__xludf.DUMMYFUNCTION("IMPORTRANGE(""https://docs.google.com/spreadsheets/d/1MeEWN-I1oV_STSDYn1IFDPWt_1FKiwhDph83XaGc0o0/edit?usp=sharing"",""งบพรบ!CV44"")"),23802)</f>
        <v>23802</v>
      </c>
      <c r="O186" s="870">
        <f t="shared" ca="1" si="93"/>
        <v>30.321019108280254</v>
      </c>
      <c r="P186" s="870">
        <f t="shared" ca="1" si="94"/>
        <v>32.383673469387752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IFERROR(__xludf.DUMMYFUNCTION("IMPORTRANGE(""https://docs.google.com/spreadsheets/d/1MeEWN-I1oV_STSDYn1IFDPWt_1FKiwhDph83XaGc0o0/edit?usp=sharing"",""งบพรบ!CR44"")"),0)</f>
        <v>0</v>
      </c>
      <c r="M189" s="870">
        <f ca="1">IFERROR(__xludf.DUMMYFUNCTION("IMPORTRANGE(""https://docs.google.com/spreadsheets/d/1MeEWN-I1oV_STSDYn1IFDPWt_1FKiwhDph83XaGc0o0/edit?usp=sharing"",""งบพรบ!CU44"")"),0)</f>
        <v>0</v>
      </c>
      <c r="N189" s="870">
        <f ca="1">IFERROR(__xludf.DUMMYFUNCTION("IMPORTRANGE(""https://docs.google.com/spreadsheets/d/1MeEWN-I1oV_STSDYn1IFDPWt_1FKiwhDph83XaGc0o0/edit?usp=sharing"",""งบพรบ!CW44"")"),0)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IFERROR(__xludf.DUMMYFUNCTION("IMPORTRANGE(""https://docs.google.com/spreadsheets/d/1QqKyyYR6Q21VydFLVH3TRQUabQu_ym0Zz7PgGX0-kHA/edit?usp=sharing"",""แผน!Z44"")"),6000)</f>
        <v>6000</v>
      </c>
      <c r="M191" s="972"/>
      <c r="N191" s="1060">
        <v>3000</v>
      </c>
      <c r="O191" s="972">
        <f ca="1">IF(L191&gt;0,N191*100/L191,0)</f>
        <v>50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IFERROR(__xludf.DUMMYFUNCTION("IMPORTRANGE(""https://docs.google.com/spreadsheets/d/1QqKyyYR6Q21VydFLVH3TRQUabQu_ym0Zz7PgGX0-kHA/edit?usp=sharing"",""แผน!AC44"")"),4)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64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f>40+24</f>
        <v>64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4</v>
      </c>
      <c r="J197" s="1057">
        <f t="shared" si="99"/>
        <v>0</v>
      </c>
      <c r="K197" s="1058">
        <f ca="1">IF(I197&gt;0,J197*100/I197,0)</f>
        <v>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52000</v>
      </c>
      <c r="M198" s="972"/>
      <c r="N198" s="972">
        <f>N199+N200+N201+N202</f>
        <v>0</v>
      </c>
      <c r="O198" s="972">
        <f ca="1">IF(L198&gt;0,N198*100/L198,0)</f>
        <v>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IFERROR(__xludf.DUMMYFUNCTION("IMPORTRANGE(""https://docs.google.com/spreadsheets/d/1QqKyyYR6Q21VydFLVH3TRQUabQu_ym0Zz7PgGX0-kHA/edit?usp=sharing"",""แผน!AE44"")"),4000)</f>
        <v>4000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IFERROR(__xludf.DUMMYFUNCTION("IMPORTRANGE(""https://docs.google.com/spreadsheets/d/1QqKyyYR6Q21VydFLVH3TRQUabQu_ym0Zz7PgGX0-kHA/edit?usp=sharing"",""แผน!AF44"")"),32000)</f>
        <v>32000</v>
      </c>
      <c r="M200" s="864"/>
      <c r="N200" s="1064">
        <v>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IFERROR(__xludf.DUMMYFUNCTION("IMPORTRANGE(""https://docs.google.com/spreadsheets/d/1QqKyyYR6Q21VydFLVH3TRQUabQu_ym0Zz7PgGX0-kHA/edit?usp=sharing"",""แผน!AG44"")"),16000)</f>
        <v>16000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IFERROR(__xludf.DUMMYFUNCTION("IMPORTRANGE(""https://docs.google.com/spreadsheets/d/1QqKyyYR6Q21VydFLVH3TRQUabQu_ym0Zz7PgGX0-kHA/edit?usp=sharing"",""แผน!AH44"")"),0)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IFERROR(__xludf.DUMMYFUNCTION("IMPORTRANGE(""https://docs.google.com/spreadsheets/d/1QqKyyYR6Q21VydFLVH3TRQUabQu_ym0Zz7PgGX0-kHA/edit?usp=sharing"",""แผน!AI44"")"),4)</f>
        <v>4</v>
      </c>
      <c r="J204" s="992">
        <v>0</v>
      </c>
      <c r="K204" s="978">
        <f ca="1">IF(I204&gt;0,J204*100/I204,0)</f>
        <v>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4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5930</v>
      </c>
      <c r="O209" s="972">
        <f ca="1">IF(L209&gt;0,N209*100/L209,0)</f>
        <v>42.357142857142854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IFERROR(__xludf.DUMMYFUNCTION("IMPORTRANGE(""https://docs.google.com/spreadsheets/d/1QqKyyYR6Q21VydFLVH3TRQUabQu_ym0Zz7PgGX0-kHA/edit?usp=sharing"",""แผน!AK44"")"),1000)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IFERROR(__xludf.DUMMYFUNCTION("IMPORTRANGE(""https://docs.google.com/spreadsheets/d/1QqKyyYR6Q21VydFLVH3TRQUabQu_ym0Zz7PgGX0-kHA/edit?usp=sharing"",""แผน!AL44"")"),5000)</f>
        <v>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IFERROR(__xludf.DUMMYFUNCTION("IMPORTRANGE(""https://docs.google.com/spreadsheets/d/1QqKyyYR6Q21VydFLVH3TRQUabQu_ym0Zz7PgGX0-kHA/edit?usp=sharing"",""แผน!AM44"")"),8000)</f>
        <v>8000</v>
      </c>
      <c r="M212" s="864"/>
      <c r="N212" s="1064">
        <v>5930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IFERROR(__xludf.DUMMYFUNCTION("IMPORTRANGE(""https://docs.google.com/spreadsheets/d/1QqKyyYR6Q21VydFLVH3TRQUabQu_ym0Zz7PgGX0-kHA/edit?usp=sharing"",""แผน!AN44"")"),1)</f>
        <v>1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IFERROR(__xludf.DUMMYFUNCTION("IMPORTRANGE(""https://docs.google.com/spreadsheets/d/1QqKyyYR6Q21VydFLVH3TRQUabQu_ym0Zz7PgGX0-kHA/edit?usp=sharing"",""แผน!AN44"")"),1)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6500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IFERROR(__xludf.DUMMYFUNCTION("IMPORTRANGE(""https://docs.google.com/spreadsheets/d/1QqKyyYR6Q21VydFLVH3TRQUabQu_ym0Zz7PgGX0-kHA/edit?usp=sharing"",""แผน!AP44"")"),3000)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IFERROR(__xludf.DUMMYFUNCTION("IMPORTRANGE(""https://docs.google.com/spreadsheets/d/1QqKyyYR6Q21VydFLVH3TRQUabQu_ym0Zz7PgGX0-kHA/edit?usp=sharing"",""แผน!AQ44"")"),3500)</f>
        <v>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IFERROR(__xludf.DUMMYFUNCTION("IMPORTRANGE(""https://docs.google.com/spreadsheets/d/1QqKyyYR6Q21VydFLVH3TRQUabQu_ym0Zz7PgGX0-kHA/edit?usp=sharing"",""แผน!AR44"")"),0)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IFERROR(__xludf.DUMMYFUNCTION("IMPORTRANGE(""https://docs.google.com/spreadsheets/d/1QqKyyYR6Q21VydFLVH3TRQUabQu_ym0Zz7PgGX0-kHA/edit?usp=sharing"",""แผน!AT44"")"),10000)</f>
        <v>10000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IFERROR(__xludf.DUMMYFUNCTION("IMPORTRANGE(""https://docs.google.com/spreadsheets/d/1QqKyyYR6Q21VydFLVH3TRQUabQu_ym0Zz7PgGX0-kHA/edit?usp=sharing"",""แผน!AT44"")"),10000)</f>
        <v>10000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IFERROR(__xludf.DUMMYFUNCTION("IMPORTRANGE(""https://docs.google.com/spreadsheets/d/1QqKyyYR6Q21VydFLVH3TRQUabQu_ym0Zz7PgGX0-kHA/edit?usp=sharing"",""แผน!AS44"")"),0)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IFERROR(__xludf.DUMMYFUNCTION("IMPORTRANGE(""https://docs.google.com/spreadsheets/d/1QqKyyYR6Q21VydFLVH3TRQUabQu_ym0Zz7PgGX0-kHA/edit?usp=sharing"",""แผน!AV44"")"),0)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IFERROR(__xludf.DUMMYFUNCTION("IMPORTRANGE(""https://docs.google.com/spreadsheets/d/1QqKyyYR6Q21VydFLVH3TRQUabQu_ym0Zz7PgGX0-kHA/edit?usp=sharing"",""แผน!AW44"")"),0)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IFERROR(__xludf.DUMMYFUNCTION("IMPORTRANGE(""https://docs.google.com/spreadsheets/d/1QqKyyYR6Q21VydFLVH3TRQUabQu_ym0Zz7PgGX0-kHA/edit?usp=sharing"",""แผน!AX44"")"),0)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IFERROR(__xludf.DUMMYFUNCTION("IMPORTRANGE(""https://docs.google.com/spreadsheets/d/1QqKyyYR6Q21VydFLVH3TRQUabQu_ym0Zz7PgGX0-kHA/edit?usp=sharing"",""แผน!AY44"")"),0)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IFERROR(__xludf.DUMMYFUNCTION("IMPORTRANGE(""https://docs.google.com/spreadsheets/d/1QqKyyYR6Q21VydFLVH3TRQUabQu_ym0Zz7PgGX0-kHA/edit?usp=sharing"",""แผน!BE44"")"),0)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IFERROR(__xludf.DUMMYFUNCTION("IMPORTRANGE(""https://docs.google.com/spreadsheets/d/1QqKyyYR6Q21VydFLVH3TRQUabQu_ym0Zz7PgGX0-kHA/edit?usp=sharing"",""แผน!AZ44"")"),0)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IFERROR(__xludf.DUMMYFUNCTION("IMPORTRANGE(""https://docs.google.com/spreadsheets/d/1QqKyyYR6Q21VydFLVH3TRQUabQu_ym0Zz7PgGX0-kHA/edit?usp=sharing"",""แผน!BA44"")"),0)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IFERROR(__xludf.DUMMYFUNCTION("IMPORTRANGE(""https://docs.google.com/spreadsheets/d/1QqKyyYR6Q21VydFLVH3TRQUabQu_ym0Zz7PgGX0-kHA/edit?usp=sharing"",""แผน!BB44"")"),0)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IFERROR(__xludf.DUMMYFUNCTION("IMPORTRANGE(""https://docs.google.com/spreadsheets/d/1QqKyyYR6Q21VydFLVH3TRQUabQu_ym0Zz7PgGX0-kHA/edit?usp=sharing"",""แผน!BC44"")"),0)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IFERROR(__xludf.DUMMYFUNCTION("IMPORTRANGE(""https://docs.google.com/spreadsheets/d/1QqKyyYR6Q21VydFLVH3TRQUabQu_ym0Zz7PgGX0-kHA/edit?usp=sharing"",""แผน!BF44"")"),0)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22630</v>
      </c>
      <c r="O261" s="972">
        <f t="shared" ref="O261:O269" ca="1" si="117">IF(L261&gt;0,N261*100/L261,0)</f>
        <v>84.126394052044603</v>
      </c>
      <c r="P261" s="972">
        <f t="shared" ref="P261:P269" ca="1" si="118">IF(M261&gt;0,N261*100/M261,0)</f>
        <v>94.686192468619254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22630</v>
      </c>
      <c r="O263" s="870">
        <f t="shared" ca="1" si="117"/>
        <v>84.126394052044603</v>
      </c>
      <c r="P263" s="870">
        <f t="shared" ca="1" si="118"/>
        <v>94.686192468619254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22630</v>
      </c>
      <c r="O264" s="864">
        <f t="shared" ca="1" si="117"/>
        <v>84.126394052044603</v>
      </c>
      <c r="P264" s="864">
        <f t="shared" ca="1" si="118"/>
        <v>94.686192468619254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IFERROR(__xludf.DUMMYFUNCTION("IMPORTRANGE(""https://docs.google.com/spreadsheets/d/1MeEWN-I1oV_STSDYn1IFDPWt_1FKiwhDph83XaGc0o0/edit?usp=sharing"",""งบพรบ!CY44"")"),26900)</f>
        <v>26900</v>
      </c>
      <c r="M266" s="870">
        <f ca="1">IFERROR(__xludf.DUMMYFUNCTION("IMPORTRANGE(""https://docs.google.com/spreadsheets/d/1MeEWN-I1oV_STSDYn1IFDPWt_1FKiwhDph83XaGc0o0/edit?usp=sharing"",""งบพรบ!DD44"")"),23900)</f>
        <v>23900</v>
      </c>
      <c r="N266" s="870">
        <f ca="1">IFERROR(__xludf.DUMMYFUNCTION("IMPORTRANGE(""https://docs.google.com/spreadsheets/d/1MeEWN-I1oV_STSDYn1IFDPWt_1FKiwhDph83XaGc0o0/edit?usp=sharing"",""งบพรบ!DF44"")"),22630)</f>
        <v>22630</v>
      </c>
      <c r="O266" s="870">
        <f t="shared" ca="1" si="117"/>
        <v>84.126394052044603</v>
      </c>
      <c r="P266" s="870">
        <f t="shared" ca="1" si="118"/>
        <v>94.686192468619254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IFERROR(__xludf.DUMMYFUNCTION("IMPORTRANGE(""https://docs.google.com/spreadsheets/d/1MeEWN-I1oV_STSDYn1IFDPWt_1FKiwhDph83XaGc0o0/edit?usp=sharing"",""งบพรบ!DB44"")"),0)</f>
        <v>0</v>
      </c>
      <c r="M269" s="870">
        <f ca="1">IFERROR(__xludf.DUMMYFUNCTION("IMPORTRANGE(""https://docs.google.com/spreadsheets/d/1MeEWN-I1oV_STSDYn1IFDPWt_1FKiwhDph83XaGc0o0/edit?usp=sharing"",""งบพรบ!DE44"")"),0)</f>
        <v>0</v>
      </c>
      <c r="N269" s="870">
        <f ca="1">IFERROR(__xludf.DUMMYFUNCTION("IMPORTRANGE(""https://docs.google.com/spreadsheets/d/1MeEWN-I1oV_STSDYn1IFDPWt_1FKiwhDph83XaGc0o0/edit?usp=sharing"",""งบพรบ!DG44"")"),0)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IFERROR(__xludf.DUMMYFUNCTION("IMPORTRANGE(""https://docs.google.com/spreadsheets/d/1QqKyyYR6Q21VydFLVH3TRQUabQu_ym0Zz7PgGX0-kHA/edit?usp=sharing"",""แผน!EA44"")"),22)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10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100</v>
      </c>
      <c r="J276" s="1138">
        <f t="shared" si="124"/>
        <v>100</v>
      </c>
      <c r="K276" s="1139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41010</v>
      </c>
      <c r="M277" s="972">
        <f t="shared" ca="1" si="125"/>
        <v>21950</v>
      </c>
      <c r="N277" s="972">
        <f t="shared" ca="1" si="125"/>
        <v>12895.14</v>
      </c>
      <c r="O277" s="972">
        <f t="shared" ref="O277:O285" ca="1" si="126">IF(L277&gt;0,N277*100/L277,0)</f>
        <v>31.443891733723483</v>
      </c>
      <c r="P277" s="972">
        <f t="shared" ref="P277:P285" ca="1" si="127">IF(M277&gt;0,N277*100/M277,0)</f>
        <v>58.747790432801821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41010</v>
      </c>
      <c r="M279" s="870">
        <f t="shared" ca="1" si="128"/>
        <v>21950</v>
      </c>
      <c r="N279" s="870">
        <f t="shared" ca="1" si="128"/>
        <v>12895.14</v>
      </c>
      <c r="O279" s="870">
        <f t="shared" ca="1" si="126"/>
        <v>31.443891733723483</v>
      </c>
      <c r="P279" s="870">
        <f t="shared" ca="1" si="127"/>
        <v>58.747790432801821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41010</v>
      </c>
      <c r="M280" s="864">
        <f t="shared" ca="1" si="129"/>
        <v>21950</v>
      </c>
      <c r="N280" s="864">
        <f t="shared" ca="1" si="129"/>
        <v>12895.14</v>
      </c>
      <c r="O280" s="864">
        <f t="shared" ca="1" si="126"/>
        <v>31.443891733723483</v>
      </c>
      <c r="P280" s="864">
        <f t="shared" ca="1" si="127"/>
        <v>58.747790432801821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IFERROR(__xludf.DUMMYFUNCTION("IMPORTRANGE(""https://docs.google.com/spreadsheets/d/1MeEWN-I1oV_STSDYn1IFDPWt_1FKiwhDph83XaGc0o0/edit?usp=sharing"",""งบพรบ!DI44"")"),41010)</f>
        <v>41010</v>
      </c>
      <c r="M282" s="870">
        <f ca="1">IFERROR(__xludf.DUMMYFUNCTION("IMPORTRANGE(""https://docs.google.com/spreadsheets/d/1MeEWN-I1oV_STSDYn1IFDPWt_1FKiwhDph83XaGc0o0/edit?usp=sharing"",""งบพรบ!DN44"")"),21950)</f>
        <v>21950</v>
      </c>
      <c r="N282" s="870">
        <f ca="1">IFERROR(__xludf.DUMMYFUNCTION("IMPORTRANGE(""https://docs.google.com/spreadsheets/d/1MeEWN-I1oV_STSDYn1IFDPWt_1FKiwhDph83XaGc0o0/edit?usp=sharing"",""งบพรบ!DP44"")"),12895.14)</f>
        <v>12895.14</v>
      </c>
      <c r="O282" s="870">
        <f t="shared" ca="1" si="126"/>
        <v>31.443891733723483</v>
      </c>
      <c r="P282" s="870">
        <f t="shared" ca="1" si="127"/>
        <v>58.747790432801821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IFERROR(__xludf.DUMMYFUNCTION("IMPORTRANGE(""https://docs.google.com/spreadsheets/d/1MeEWN-I1oV_STSDYn1IFDPWt_1FKiwhDph83XaGc0o0/edit?usp=sharing"",""งบพรบ!DL44"")"),0)</f>
        <v>0</v>
      </c>
      <c r="M285" s="870">
        <f ca="1">IFERROR(__xludf.DUMMYFUNCTION("IMPORTRANGE(""https://docs.google.com/spreadsheets/d/1MeEWN-I1oV_STSDYn1IFDPWt_1FKiwhDph83XaGc0o0/edit?usp=sharing"",""งบพรบ!DO44"")"),0)</f>
        <v>0</v>
      </c>
      <c r="N285" s="870">
        <f ca="1">IFERROR(__xludf.DUMMYFUNCTION("IMPORTRANGE(""https://docs.google.com/spreadsheets/d/1MeEWN-I1oV_STSDYn1IFDPWt_1FKiwhDph83XaGc0o0/edit?usp=sharing"",""งบพรบ!DQ44"")"),0)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IFERROR(__xludf.DUMMYFUNCTION("IMPORTRANGE(""https://docs.google.com/spreadsheets/d/1QqKyyYR6Q21VydFLVH3TRQUabQu_ym0Zz7PgGX0-kHA/edit?usp=sharing"",""แผน!EC44"")"),100)</f>
        <v>100</v>
      </c>
      <c r="J287" s="992">
        <v>100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IFERROR(__xludf.DUMMYFUNCTION("IMPORTRANGE(""https://docs.google.com/spreadsheets/d/1QqKyyYR6Q21VydFLVH3TRQUabQu_ym0Zz7PgGX0-kHA/edit?usp=sharing"",""แผน!EB44"")"),10)</f>
        <v>10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IFERROR(__xludf.DUMMYFUNCTION("IMPORTRANGE(""https://docs.google.com/spreadsheets/d/1QqKyyYR6Q21VydFLVH3TRQUabQu_ym0Zz7PgGX0-kHA/edit?usp=sharing"",""แผน!EB44"")"),10)</f>
        <v>10</v>
      </c>
      <c r="J290" s="992">
        <v>10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IFERROR(__xludf.DUMMYFUNCTION("IMPORTRANGE(""https://docs.google.com/spreadsheets/d/1QqKyyYR6Q21VydFLVH3TRQUabQu_ym0Zz7PgGX0-kHA/edit?usp=sharing"",""แผน!EB44"")"),10)</f>
        <v>10</v>
      </c>
      <c r="J291" s="992">
        <v>10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IFERROR(__xludf.DUMMYFUNCTION("IMPORTRANGE(""https://docs.google.com/spreadsheets/d/1QqKyyYR6Q21VydFLVH3TRQUabQu_ym0Zz7PgGX0-kHA/edit?usp=sharing"",""แผน!EB44"")"),10)</f>
        <v>10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IFERROR(__xludf.DUMMYFUNCTION("IMPORTRANGE(""https://docs.google.com/spreadsheets/d/1QqKyyYR6Q21VydFLVH3TRQUabQu_ym0Zz7PgGX0-kHA/edit?usp=sharing"",""แผน!EB44"")"),10)</f>
        <v>10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33840</v>
      </c>
      <c r="O298" s="972">
        <f t="shared" ref="O298:O306" ca="1" si="136">IF(L298&gt;0,N298*100/L298,0)</f>
        <v>41.067961165048544</v>
      </c>
      <c r="P298" s="972">
        <f t="shared" ref="P298:P306" ca="1" si="137">IF(M298&gt;0,N298*100/M298,0)</f>
        <v>52.546583850931675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33840</v>
      </c>
      <c r="O300" s="870">
        <f t="shared" ca="1" si="136"/>
        <v>41.067961165048544</v>
      </c>
      <c r="P300" s="870">
        <f t="shared" ca="1" si="137"/>
        <v>52.546583850931675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33840</v>
      </c>
      <c r="O301" s="864">
        <f t="shared" ca="1" si="136"/>
        <v>41.067961165048544</v>
      </c>
      <c r="P301" s="864">
        <f t="shared" ca="1" si="137"/>
        <v>52.546583850931675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IFERROR(__xludf.DUMMYFUNCTION("IMPORTRANGE(""https://docs.google.com/spreadsheets/d/1MeEWN-I1oV_STSDYn1IFDPWt_1FKiwhDph83XaGc0o0/edit?usp=sharing"",""งบพรบ!DS44"")"),82400)</f>
        <v>82400</v>
      </c>
      <c r="M303" s="870">
        <f ca="1">IFERROR(__xludf.DUMMYFUNCTION("IMPORTRANGE(""https://docs.google.com/spreadsheets/d/1MeEWN-I1oV_STSDYn1IFDPWt_1FKiwhDph83XaGc0o0/edit?usp=sharing"",""งบพรบ!DX44"")"),64400)</f>
        <v>64400</v>
      </c>
      <c r="N303" s="870">
        <f ca="1">IFERROR(__xludf.DUMMYFUNCTION("IMPORTRANGE(""https://docs.google.com/spreadsheets/d/1MeEWN-I1oV_STSDYn1IFDPWt_1FKiwhDph83XaGc0o0/edit?usp=sharing"",""งบพรบ!DZ44"")"),33840)</f>
        <v>33840</v>
      </c>
      <c r="O303" s="870">
        <f t="shared" ca="1" si="136"/>
        <v>41.067961165048544</v>
      </c>
      <c r="P303" s="870">
        <f t="shared" ca="1" si="137"/>
        <v>52.546583850931675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IFERROR(__xludf.DUMMYFUNCTION("IMPORTRANGE(""https://docs.google.com/spreadsheets/d/1MeEWN-I1oV_STSDYn1IFDPWt_1FKiwhDph83XaGc0o0/edit?usp=sharing"",""งบพรบ!DV44"")"),0)</f>
        <v>0</v>
      </c>
      <c r="M306" s="870">
        <f ca="1">IFERROR(__xludf.DUMMYFUNCTION("IMPORTRANGE(""https://docs.google.com/spreadsheets/d/1MeEWN-I1oV_STSDYn1IFDPWt_1FKiwhDph83XaGc0o0/edit?usp=sharing"",""งบพรบ!DY44"")"),0)</f>
        <v>0</v>
      </c>
      <c r="N306" s="870">
        <f ca="1">IFERROR(__xludf.DUMMYFUNCTION("IMPORTRANGE(""https://docs.google.com/spreadsheets/d/1MeEWN-I1oV_STSDYn1IFDPWt_1FKiwhDph83XaGc0o0/edit?usp=sharing"",""งบพรบ!EA44"")"),0)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IFERROR(__xludf.DUMMYFUNCTION("IMPORTRANGE(""https://docs.google.com/spreadsheets/d/1QqKyyYR6Q21VydFLVH3TRQUabQu_ym0Zz7PgGX0-kHA/edit?usp=sharing"",""แผน!ED44"")"),20)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IFERROR(__xludf.DUMMYFUNCTION("IMPORTRANGE(""https://docs.google.com/spreadsheets/d/1QqKyyYR6Q21VydFLVH3TRQUabQu_ym0Zz7PgGX0-kHA/edit?usp=sharing"",""แผน!ED44"")"),20)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IFERROR(__xludf.DUMMYFUNCTION("IMPORTRANGE(""https://docs.google.com/spreadsheets/d/1QqKyyYR6Q21VydFLVH3TRQUabQu_ym0Zz7PgGX0-kHA/edit?usp=sharing"",""แผน!ED44"")"),20)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IFERROR(__xludf.DUMMYFUNCTION("IMPORTRANGE(""https://docs.google.com/spreadsheets/d/1QqKyyYR6Q21VydFLVH3TRQUabQu_ym0Zz7PgGX0-kHA/edit?usp=sharing"",""แผน!EE44"")"),4)</f>
        <v>4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IFERROR(__xludf.DUMMYFUNCTION("IMPORTRANGE(""https://docs.google.com/spreadsheets/d/1MeEWN-I1oV_STSDYn1IFDPWt_1FKiwhDph83XaGc0o0/edit?usp=sharing"",""งบพรบ!EC44"")"),0)</f>
        <v>0</v>
      </c>
      <c r="M320" s="870">
        <f ca="1">IFERROR(__xludf.DUMMYFUNCTION("IMPORTRANGE(""https://docs.google.com/spreadsheets/d/1MeEWN-I1oV_STSDYn1IFDPWt_1FKiwhDph83XaGc0o0/edit?usp=sharing"",""งบพรบ!EH44"")"),0)</f>
        <v>0</v>
      </c>
      <c r="N320" s="870">
        <f ca="1">IFERROR(__xludf.DUMMYFUNCTION("IMPORTRANGE(""https://docs.google.com/spreadsheets/d/1MeEWN-I1oV_STSDYn1IFDPWt_1FKiwhDph83XaGc0o0/edit?usp=sharing"",""งบพรบ!EJ44"")"),0)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IFERROR(__xludf.DUMMYFUNCTION("IMPORTRANGE(""https://docs.google.com/spreadsheets/d/1MeEWN-I1oV_STSDYn1IFDPWt_1FKiwhDph83XaGc0o0/edit?usp=sharing"",""งบพรบ!EF44"")"),0)</f>
        <v>0</v>
      </c>
      <c r="M323" s="870">
        <f ca="1">IFERROR(__xludf.DUMMYFUNCTION("IMPORTRANGE(""https://docs.google.com/spreadsheets/d/1MeEWN-I1oV_STSDYn1IFDPWt_1FKiwhDph83XaGc0o0/edit?usp=sharing"",""งบพรบ!EI44"")"),0)</f>
        <v>0</v>
      </c>
      <c r="N323" s="870">
        <f ca="1">IFERROR(__xludf.DUMMYFUNCTION("IMPORTRANGE(""https://docs.google.com/spreadsheets/d/1MeEWN-I1oV_STSDYn1IFDPWt_1FKiwhDph83XaGc0o0/edit?usp=sharing"",""งบพรบ!EK44"")"),0)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IFERROR(__xludf.DUMMYFUNCTION("IMPORTRANGE(""https://docs.google.com/spreadsheets/d/1QqKyyYR6Q21VydFLVH3TRQUabQu_ym0Zz7PgGX0-kHA/edit?usp=sharing"",""แผน!EF44"")"),0)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IFERROR(__xludf.DUMMYFUNCTION("IMPORTRANGE(""https://docs.google.com/spreadsheets/d/1QqKyyYR6Q21VydFLVH3TRQUabQu_ym0Zz7PgGX0-kHA/edit?usp=sharing"",""แผน!EG44"")"),6700)</f>
        <v>6700</v>
      </c>
      <c r="J327" s="1170">
        <f ca="1">J338+J341+J342+J343</f>
        <v>5535</v>
      </c>
      <c r="K327" s="1171">
        <f ca="1">IF(I327&gt;0,J327*100/I327,0)</f>
        <v>82.611940298507463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186000</v>
      </c>
      <c r="M328" s="972">
        <f t="shared" ca="1" si="149"/>
        <v>142000</v>
      </c>
      <c r="N328" s="972">
        <f t="shared" ca="1" si="149"/>
        <v>71301.820000000007</v>
      </c>
      <c r="O328" s="972">
        <f t="shared" ref="O328:O336" ca="1" si="150">IF(L328&gt;0,N328*100/L328,0)</f>
        <v>38.334311827956995</v>
      </c>
      <c r="P328" s="972">
        <f t="shared" ref="P328:P336" ca="1" si="151">IF(M328&gt;0,N328*100/M328,0)</f>
        <v>50.212549295774657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186000</v>
      </c>
      <c r="M330" s="870">
        <f t="shared" ca="1" si="152"/>
        <v>142000</v>
      </c>
      <c r="N330" s="870">
        <f t="shared" ca="1" si="152"/>
        <v>71301.820000000007</v>
      </c>
      <c r="O330" s="870">
        <f t="shared" ca="1" si="150"/>
        <v>38.334311827956995</v>
      </c>
      <c r="P330" s="870">
        <f t="shared" ca="1" si="151"/>
        <v>50.212549295774657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186000</v>
      </c>
      <c r="M331" s="864">
        <f t="shared" ca="1" si="153"/>
        <v>142000</v>
      </c>
      <c r="N331" s="864">
        <f t="shared" ca="1" si="153"/>
        <v>71301.820000000007</v>
      </c>
      <c r="O331" s="864">
        <f t="shared" ca="1" si="150"/>
        <v>38.334311827956995</v>
      </c>
      <c r="P331" s="864">
        <f t="shared" ca="1" si="151"/>
        <v>50.212549295774657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IFERROR(__xludf.DUMMYFUNCTION("IMPORTRANGE(""https://docs.google.com/spreadsheets/d/1MeEWN-I1oV_STSDYn1IFDPWt_1FKiwhDph83XaGc0o0/edit?usp=sharing"",""งบพรบ!EM44"")"),186000)</f>
        <v>186000</v>
      </c>
      <c r="M333" s="870">
        <f ca="1">IFERROR(__xludf.DUMMYFUNCTION("IMPORTRANGE(""https://docs.google.com/spreadsheets/d/1MeEWN-I1oV_STSDYn1IFDPWt_1FKiwhDph83XaGc0o0/edit?usp=sharing"",""งบพรบ!ER44"")"),142000)</f>
        <v>142000</v>
      </c>
      <c r="N333" s="870">
        <f ca="1">IFERROR(__xludf.DUMMYFUNCTION("IMPORTRANGE(""https://docs.google.com/spreadsheets/d/1MeEWN-I1oV_STSDYn1IFDPWt_1FKiwhDph83XaGc0o0/edit?usp=sharing"",""งบพรบ!ET44"")"),71301.82)</f>
        <v>71301.820000000007</v>
      </c>
      <c r="O333" s="870">
        <f t="shared" ca="1" si="150"/>
        <v>38.334311827956995</v>
      </c>
      <c r="P333" s="870">
        <f t="shared" ca="1" si="151"/>
        <v>50.212549295774657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IFERROR(__xludf.DUMMYFUNCTION("IMPORTRANGE(""https://docs.google.com/spreadsheets/d/1MeEWN-I1oV_STSDYn1IFDPWt_1FKiwhDph83XaGc0o0/edit?usp=sharing"",""งบพรบ!EP44"")"),0)</f>
        <v>0</v>
      </c>
      <c r="M336" s="870">
        <f ca="1">IFERROR(__xludf.DUMMYFUNCTION("IMPORTRANGE(""https://docs.google.com/spreadsheets/d/1MeEWN-I1oV_STSDYn1IFDPWt_1FKiwhDph83XaGc0o0/edit?usp=sharing"",""งบพรบ!ES44"")"),0)</f>
        <v>0</v>
      </c>
      <c r="N336" s="870">
        <f ca="1">IFERROR(__xludf.DUMMYFUNCTION("IMPORTRANGE(""https://docs.google.com/spreadsheets/d/1MeEWN-I1oV_STSDYn1IFDPWt_1FKiwhDph83XaGc0o0/edit?usp=sharing"",""งบพรบ!EU44"")"),0)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IFERROR(__xludf.DUMMYFUNCTION("IMPORTRANGE(""https://docs.google.com/spreadsheets/d/1QqKyyYR6Q21VydFLVH3TRQUabQu_ym0Zz7PgGX0-kHA/edit?usp=sharing"",""แผน!EG44"")"),6700)</f>
        <v>6700</v>
      </c>
      <c r="J338" s="863">
        <f ca="1">IFERROR(__xludf.DUMMYFUNCTION("IMPORTRANGE(""https://docs.google.com/spreadsheets/d/1kVcqe37tkHyjCSG3S0O1AXqVkqjo8mSIZil3BcpIysc/edit?usp=sharing"",""ศูนย์!D44"")"),4675)</f>
        <v>4675</v>
      </c>
      <c r="K338" s="864">
        <f ca="1">IF(I338&gt;0,J338*100/I338,0)</f>
        <v>69.776119402985074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IFERROR(__xludf.DUMMYFUNCTION("IMPORTRANGE(""https://docs.google.com/spreadsheets/d/1QqKyyYR6Q21VydFLVH3TRQUabQu_ym0Zz7PgGX0-kHA/edit?usp=sharing"",""แผน!EH44"")"),9)</f>
        <v>9</v>
      </c>
      <c r="J340" s="863">
        <f ca="1">IFERROR(__xludf.DUMMYFUNCTION("IMPORTRANGE(""https://docs.google.com/spreadsheets/d/1kVcqe37tkHyjCSG3S0O1AXqVkqjo8mSIZil3BcpIysc/edit?usp=sharing"",""ศูนย์!E44"")"),7)</f>
        <v>7</v>
      </c>
      <c r="K340" s="864">
        <f ca="1">IF(I340&gt;0,J340*100/I340,0)</f>
        <v>77.777777777777771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IFERROR(__xludf.DUMMYFUNCTION("IMPORTRANGE(""https://docs.google.com/spreadsheets/d/1kVcqe37tkHyjCSG3S0O1AXqVkqjo8mSIZil3BcpIysc/edit?usp=sharing"",""ศูนย์!F44"")"),846)</f>
        <v>846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IFERROR(__xludf.DUMMYFUNCTION("IMPORTRANGE(""https://docs.google.com/spreadsheets/d/1kVcqe37tkHyjCSG3S0O1AXqVkqjo8mSIZil3BcpIysc/edit?usp=sharing"",""ศูนย์!G44"")"),1)</f>
        <v>1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IFERROR(__xludf.DUMMYFUNCTION("IMPORTRANGE(""https://docs.google.com/spreadsheets/d/1kVcqe37tkHyjCSG3S0O1AXqVkqjo8mSIZil3BcpIysc/edit?usp=sharing"",""ศูนย์!H44"")"),13)</f>
        <v>13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2297570</v>
      </c>
      <c r="M345" s="972">
        <f t="shared" ca="1" si="155"/>
        <v>1766550</v>
      </c>
      <c r="N345" s="972">
        <f t="shared" ca="1" si="155"/>
        <v>838901.24</v>
      </c>
      <c r="O345" s="972">
        <f t="shared" ref="O345:O353" ca="1" si="156">IF(L345&gt;0,N345*100/L345,0)</f>
        <v>36.512543252218649</v>
      </c>
      <c r="P345" s="972">
        <f t="shared" ref="P345:P353" ca="1" si="157">IF(M345&gt;0,N345*100/M345,0)</f>
        <v>47.488111856443354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2297570</v>
      </c>
      <c r="M347" s="870">
        <f t="shared" ca="1" si="158"/>
        <v>1766550</v>
      </c>
      <c r="N347" s="870">
        <f t="shared" ca="1" si="158"/>
        <v>838901.24</v>
      </c>
      <c r="O347" s="870">
        <f t="shared" ca="1" si="156"/>
        <v>36.512543252218649</v>
      </c>
      <c r="P347" s="870">
        <f t="shared" ca="1" si="157"/>
        <v>47.488111856443354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2171170</v>
      </c>
      <c r="M348" s="864">
        <f t="shared" ca="1" si="159"/>
        <v>1640850</v>
      </c>
      <c r="N348" s="864">
        <f t="shared" ca="1" si="159"/>
        <v>713201.24</v>
      </c>
      <c r="O348" s="864">
        <f t="shared" ca="1" si="156"/>
        <v>32.848705536646143</v>
      </c>
      <c r="P348" s="864">
        <f t="shared" ca="1" si="157"/>
        <v>43.465352713532617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IFERROR(__xludf.DUMMYFUNCTION("IMPORTRANGE(""https://docs.google.com/spreadsheets/d/1MeEWN-I1oV_STSDYn1IFDPWt_1FKiwhDph83XaGc0o0/edit?usp=sharing"",""งบพรบ!EW44"")"),2171170)</f>
        <v>2171170</v>
      </c>
      <c r="M350" s="870">
        <f ca="1">IFERROR(__xludf.DUMMYFUNCTION("IMPORTRANGE(""https://docs.google.com/spreadsheets/d/1MeEWN-I1oV_STSDYn1IFDPWt_1FKiwhDph83XaGc0o0/edit?usp=sharing"",""งบพรบ!FB44"")"),1640850)</f>
        <v>1640850</v>
      </c>
      <c r="N350" s="870">
        <f ca="1">IFERROR(__xludf.DUMMYFUNCTION("IMPORTRANGE(""https://docs.google.com/spreadsheets/d/1MeEWN-I1oV_STSDYn1IFDPWt_1FKiwhDph83XaGc0o0/edit?usp=sharing"",""งบพรบ!FD44"")"),713201.24)</f>
        <v>713201.24</v>
      </c>
      <c r="O350" s="870">
        <f t="shared" ca="1" si="156"/>
        <v>32.848705536646143</v>
      </c>
      <c r="P350" s="870">
        <f t="shared" ca="1" si="157"/>
        <v>43.465352713532617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126400</v>
      </c>
      <c r="M351" s="864">
        <f t="shared" ca="1" si="160"/>
        <v>125700</v>
      </c>
      <c r="N351" s="864">
        <f t="shared" ca="1" si="160"/>
        <v>125700</v>
      </c>
      <c r="O351" s="864">
        <f t="shared" ca="1" si="156"/>
        <v>99.446202531645568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IFERROR(__xludf.DUMMYFUNCTION("IMPORTRANGE(""https://docs.google.com/spreadsheets/d/1MeEWN-I1oV_STSDYn1IFDPWt_1FKiwhDph83XaGc0o0/edit?usp=sharing"",""งบพรบ!EZ44"")"),126400)</f>
        <v>126400</v>
      </c>
      <c r="M353" s="870">
        <f ca="1">IFERROR(__xludf.DUMMYFUNCTION("IMPORTRANGE(""https://docs.google.com/spreadsheets/d/1MeEWN-I1oV_STSDYn1IFDPWt_1FKiwhDph83XaGc0o0/edit?usp=sharing"",""งบพรบ!FC44"")"),125700)</f>
        <v>125700</v>
      </c>
      <c r="N353" s="870">
        <f ca="1">IFERROR(__xludf.DUMMYFUNCTION("IMPORTRANGE(""https://docs.google.com/spreadsheets/d/1MeEWN-I1oV_STSDYn1IFDPWt_1FKiwhDph83XaGc0o0/edit?usp=sharing"",""งบพรบ!FE44"")"),125700)</f>
        <v>125700</v>
      </c>
      <c r="O353" s="870">
        <f t="shared" ca="1" si="156"/>
        <v>99.446202531645568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IFERROR(__xludf.DUMMYFUNCTION("IMPORTRANGE(""https://docs.google.com/spreadsheets/d/1QqKyyYR6Q21VydFLVH3TRQUabQu_ym0Zz7PgGX0-kHA/edit?usp=sharing"",""แผน!EP44"")"),1112)</f>
        <v>1112</v>
      </c>
      <c r="J355" s="1186">
        <f ca="1">J362</f>
        <v>37</v>
      </c>
      <c r="K355" s="1187">
        <f ca="1">IF(I355&gt;0,J355*100/I355,0)</f>
        <v>3.3273381294964031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IFERROR(__xludf.DUMMYFUNCTION("IMPORTRANGE(""https://docs.google.com/spreadsheets/d/1XWAQStnk-4SwqDmLtmXYiTMKHgktTP8We1SCoS47DrQ/edit?usp=sharing"",""จัดที่ดิน!W44"")"),427)</f>
        <v>427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IFERROR(__xludf.DUMMYFUNCTION("IMPORTRANGE(""https://docs.google.com/spreadsheets/d/1QqKyyYR6Q21VydFLVH3TRQUabQu_ym0Zz7PgGX0-kHA/edit?usp=sharing"",""แผน!EO44"")"),11120)</f>
        <v>11120</v>
      </c>
      <c r="J359" s="863">
        <f ca="1">IFERROR(__xludf.DUMMYFUNCTION("IMPORTRANGE(""https://docs.google.com/spreadsheets/d/1XWAQStnk-4SwqDmLtmXYiTMKHgktTP8We1SCoS47DrQ/edit?usp=sharing"",""จัดที่ดิน!X44"")"),2277.86)</f>
        <v>2277.86</v>
      </c>
      <c r="K359" s="864">
        <f t="shared" ca="1" si="161"/>
        <v>20.484352517985613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IFERROR(__xludf.DUMMYFUNCTION("IMPORTRANGE(""https://docs.google.com/spreadsheets/d/1QqKyyYR6Q21VydFLVH3TRQUabQu_ym0Zz7PgGX0-kHA/edit?usp=sharing"",""แผน!EP44"")"),1112)</f>
        <v>1112</v>
      </c>
      <c r="J360" s="863">
        <f ca="1">IFERROR(__xludf.DUMMYFUNCTION("IMPORTRANGE(""https://docs.google.com/spreadsheets/d/1XWAQStnk-4SwqDmLtmXYiTMKHgktTP8We1SCoS47DrQ/edit?usp=sharing"",""จัดที่ดิน!Y44"")"),333)</f>
        <v>333</v>
      </c>
      <c r="K360" s="864">
        <f t="shared" ca="1" si="161"/>
        <v>29.946043165467625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IFERROR(__xludf.DUMMYFUNCTION("IMPORTRANGE(""https://docs.google.com/spreadsheets/d/1XWAQStnk-4SwqDmLtmXYiTMKHgktTP8We1SCoS47DrQ/edit?usp=sharing"",""จัดที่ดิน!Z44"")"),1843.93999999999)</f>
        <v>1843.9399999999901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IFERROR(__xludf.DUMMYFUNCTION("IMPORTRANGE(""https://docs.google.com/spreadsheets/d/1QqKyyYR6Q21VydFLVH3TRQUabQu_ym0Zz7PgGX0-kHA/edit?usp=sharing"",""แผน!EP44"")"),1112)</f>
        <v>1112</v>
      </c>
      <c r="J362" s="863">
        <f ca="1">IFERROR(__xludf.DUMMYFUNCTION("IMPORTRANGE(""https://docs.google.com/spreadsheets/d/1XWAQStnk-4SwqDmLtmXYiTMKHgktTP8We1SCoS47DrQ/edit?usp=sharing"",""จัดที่ดิน!AA44"")"),37)</f>
        <v>37</v>
      </c>
      <c r="K362" s="864">
        <f t="shared" ca="1" si="161"/>
        <v>3.3273381294964031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IFERROR(__xludf.DUMMYFUNCTION("IMPORTRANGE(""https://docs.google.com/spreadsheets/d/1XWAQStnk-4SwqDmLtmXYiTMKHgktTP8We1SCoS47DrQ/edit?usp=sharing"",""จัดที่ดิน!AB44"")"),210.37)</f>
        <v>210.37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2112</v>
      </c>
      <c r="J364" s="1199">
        <f t="shared" ca="1" si="162"/>
        <v>649</v>
      </c>
      <c r="K364" s="1200">
        <f t="shared" ca="1" si="161"/>
        <v>30.729166666666668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IFERROR(__xludf.DUMMYFUNCTION("IMPORTRANGE(""https://docs.google.com/spreadsheets/d/1QqKyyYR6Q21VydFLVH3TRQUabQu_ym0Zz7PgGX0-kHA/edit?usp=sharing"",""แผน!EJ44"")"),312)</f>
        <v>312</v>
      </c>
      <c r="J365" s="1207">
        <f ca="1">J372</f>
        <v>3</v>
      </c>
      <c r="K365" s="1208">
        <f t="shared" ca="1" si="161"/>
        <v>0.96153846153846156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IFERROR(__xludf.DUMMYFUNCTION("IMPORTRANGE(""https://docs.google.com/spreadsheets/d/1XWAQStnk-4SwqDmLtmXYiTMKHgktTP8We1SCoS47DrQ/edit?usp=sharing"",""จัดที่ดิน!E44"")"),99)</f>
        <v>99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IFERROR(__xludf.DUMMYFUNCTION("IMPORTRANGE(""https://docs.google.com/spreadsheets/d/1QqKyyYR6Q21VydFLVH3TRQUabQu_ym0Zz7PgGX0-kHA/edit?usp=sharing"",""แผน!EI44"")"),3120)</f>
        <v>3120</v>
      </c>
      <c r="J369" s="863">
        <f ca="1">IFERROR(__xludf.DUMMYFUNCTION("IMPORTRANGE(""https://docs.google.com/spreadsheets/d/1XWAQStnk-4SwqDmLtmXYiTMKHgktTP8We1SCoS47DrQ/edit?usp=sharing"",""จัดที่ดิน!F44"")"),479.62)</f>
        <v>479.62</v>
      </c>
      <c r="K369" s="864">
        <f t="shared" ca="1" si="163"/>
        <v>15.372435897435897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IFERROR(__xludf.DUMMYFUNCTION("IMPORTRANGE(""https://docs.google.com/spreadsheets/d/1QqKyyYR6Q21VydFLVH3TRQUabQu_ym0Zz7PgGX0-kHA/edit?usp=sharing"",""แผน!EJ44"")"),312)</f>
        <v>312</v>
      </c>
      <c r="J370" s="863">
        <f ca="1">IFERROR(__xludf.DUMMYFUNCTION("IMPORTRANGE(""https://docs.google.com/spreadsheets/d/1XWAQStnk-4SwqDmLtmXYiTMKHgktTP8We1SCoS47DrQ/edit?usp=sharing"",""จัดที่ดิน!G44"")"),15)</f>
        <v>15</v>
      </c>
      <c r="K370" s="864">
        <f t="shared" ca="1" si="163"/>
        <v>4.8076923076923075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IFERROR(__xludf.DUMMYFUNCTION("IMPORTRANGE(""https://docs.google.com/spreadsheets/d/1XWAQStnk-4SwqDmLtmXYiTMKHgktTP8We1SCoS47DrQ/edit?usp=sharing"",""จัดที่ดิน!H44"")"),116.83)</f>
        <v>116.83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IFERROR(__xludf.DUMMYFUNCTION("IMPORTRANGE(""https://docs.google.com/spreadsheets/d/1QqKyyYR6Q21VydFLVH3TRQUabQu_ym0Zz7PgGX0-kHA/edit?usp=sharing"",""แผน!EJ44"")"),312)</f>
        <v>312</v>
      </c>
      <c r="J372" s="863">
        <f ca="1">IFERROR(__xludf.DUMMYFUNCTION("IMPORTRANGE(""https://docs.google.com/spreadsheets/d/1XWAQStnk-4SwqDmLtmXYiTMKHgktTP8We1SCoS47DrQ/edit?usp=sharing"",""จัดที่ดิน!I44"")"),3)</f>
        <v>3</v>
      </c>
      <c r="K372" s="864">
        <f t="shared" ca="1" si="163"/>
        <v>0.96153846153846156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IFERROR(__xludf.DUMMYFUNCTION("IMPORTRANGE(""https://docs.google.com/spreadsheets/d/1XWAQStnk-4SwqDmLtmXYiTMKHgktTP8We1SCoS47DrQ/edit?usp=sharing"",""จัดที่ดิน!J44"")"),34.38)</f>
        <v>34.380000000000003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IFERROR(__xludf.DUMMYFUNCTION("IMPORTRANGE(""https://docs.google.com/spreadsheets/d/1QqKyyYR6Q21VydFLVH3TRQUabQu_ym0Zz7PgGX0-kHA/edit?usp=sharing"",""แผน!EU44"")"),1800)</f>
        <v>1800</v>
      </c>
      <c r="J374" s="1207">
        <f ca="1">J381</f>
        <v>646</v>
      </c>
      <c r="K374" s="1208">
        <f t="shared" ca="1" si="163"/>
        <v>35.888888888888886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IFERROR(__xludf.DUMMYFUNCTION("IMPORTRANGE(""https://docs.google.com/spreadsheets/d/1XWAQStnk-4SwqDmLtmXYiTMKHgktTP8We1SCoS47DrQ/edit?usp=sharing"",""จัดที่ดิน!AH44"")"),328)</f>
        <v>328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IFERROR(__xludf.DUMMYFUNCTION("IMPORTRANGE(""https://docs.google.com/spreadsheets/d/1QqKyyYR6Q21VydFLVH3TRQUabQu_ym0Zz7PgGX0-kHA/edit?usp=sharing"",""แผน!ET44"")"),8000)</f>
        <v>8000</v>
      </c>
      <c r="J378" s="863">
        <f ca="1">IFERROR(__xludf.DUMMYFUNCTION("IMPORTRANGE(""https://docs.google.com/spreadsheets/d/1XWAQStnk-4SwqDmLtmXYiTMKHgktTP8We1SCoS47DrQ/edit?usp=sharing"",""จัดที่ดิน!AI44"")"),1798.24)</f>
        <v>1798.24</v>
      </c>
      <c r="K378" s="864">
        <f t="shared" ca="1" si="164"/>
        <v>22.478000000000002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IFERROR(__xludf.DUMMYFUNCTION("IMPORTRANGE(""https://docs.google.com/spreadsheets/d/1QqKyyYR6Q21VydFLVH3TRQUabQu_ym0Zz7PgGX0-kHA/edit?usp=sharing"",""แผน!EU44"")"),1800)</f>
        <v>1800</v>
      </c>
      <c r="J379" s="863">
        <f ca="1">IFERROR(__xludf.DUMMYFUNCTION("IMPORTRANGE(""https://docs.google.com/spreadsheets/d/1XWAQStnk-4SwqDmLtmXYiTMKHgktTP8We1SCoS47DrQ/edit?usp=sharing"",""จัดที่ดิน!AJ44"")"),934)</f>
        <v>934</v>
      </c>
      <c r="K379" s="864">
        <f t="shared" ca="1" si="164"/>
        <v>51.888888888888886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IFERROR(__xludf.DUMMYFUNCTION("IMPORTRANGE(""https://docs.google.com/spreadsheets/d/1XWAQStnk-4SwqDmLtmXYiTMKHgktTP8We1SCoS47DrQ/edit?usp=sharing"",""จัดที่ดิน!AK44"")"),6661.44)</f>
        <v>6661.44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IFERROR(__xludf.DUMMYFUNCTION("IMPORTRANGE(""https://docs.google.com/spreadsheets/d/1QqKyyYR6Q21VydFLVH3TRQUabQu_ym0Zz7PgGX0-kHA/edit?usp=sharing"",""แผน!EU44"")"),1800)</f>
        <v>1800</v>
      </c>
      <c r="J381" s="863">
        <f ca="1">IFERROR(__xludf.DUMMYFUNCTION("IMPORTRANGE(""https://docs.google.com/spreadsheets/d/1XWAQStnk-4SwqDmLtmXYiTMKHgktTP8We1SCoS47DrQ/edit?usp=sharing"",""จัดที่ดิน!AL44"")"),646)</f>
        <v>646</v>
      </c>
      <c r="K381" s="864">
        <f t="shared" ca="1" si="164"/>
        <v>35.888888888888886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IFERROR(__xludf.DUMMYFUNCTION("IMPORTRANGE(""https://docs.google.com/spreadsheets/d/1XWAQStnk-4SwqDmLtmXYiTMKHgktTP8We1SCoS47DrQ/edit?usp=sharing"",""จัดที่ดิน!AM44"")"),5027.15)</f>
        <v>5027.1499999999996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IFERROR(__xludf.DUMMYFUNCTION("IMPORTRANGE(""https://docs.google.com/spreadsheets/d/1QqKyyYR6Q21VydFLVH3TRQUabQu_ym0Zz7PgGX0-kHA/edit?usp=sharing"",""แผน!EW44"")"),150)</f>
        <v>150</v>
      </c>
      <c r="J385" s="1117">
        <f ca="1">IFERROR(__xludf.DUMMYFUNCTION("IMPORTRANGE(""https://docs.google.com/spreadsheets/d/1XWAQStnk-4SwqDmLtmXYiTMKHgktTP8We1SCoS47DrQ/edit?usp=sharing"",""จัดที่ดิน!AP44"")"),1)</f>
        <v>1</v>
      </c>
      <c r="K385" s="1215">
        <f ca="1">IF(I385&gt;0,J385*100/I385,0)</f>
        <v>0.66666666666666663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IFERROR(__xludf.DUMMYFUNCTION("IMPORTRANGE(""https://docs.google.com/spreadsheets/d/1MeEWN-I1oV_STSDYn1IFDPWt_1FKiwhDph83XaGc0o0/edit?usp=sharing"",""งบพรบ!FG44"")"),0)</f>
        <v>0</v>
      </c>
      <c r="M394" s="870">
        <f ca="1">IFERROR(__xludf.DUMMYFUNCTION("IMPORTRANGE(""https://docs.google.com/spreadsheets/d/1MeEWN-I1oV_STSDYn1IFDPWt_1FKiwhDph83XaGc0o0/edit?usp=sharing"",""งบพรบ!FL44"")"),0)</f>
        <v>0</v>
      </c>
      <c r="N394" s="870">
        <f ca="1">IFERROR(__xludf.DUMMYFUNCTION("IMPORTRANGE(""https://docs.google.com/spreadsheets/d/1MeEWN-I1oV_STSDYn1IFDPWt_1FKiwhDph83XaGc0o0/edit?usp=sharing"",""งบพรบ!FN44"")"),0)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IFERROR(__xludf.DUMMYFUNCTION("IMPORTRANGE(""https://docs.google.com/spreadsheets/d/1MeEWN-I1oV_STSDYn1IFDPWt_1FKiwhDph83XaGc0o0/edit?usp=sharing"",""งบพรบ!FJ44"")"),0)</f>
        <v>0</v>
      </c>
      <c r="M397" s="870">
        <f ca="1">IFERROR(__xludf.DUMMYFUNCTION("IMPORTRANGE(""https://docs.google.com/spreadsheets/d/1MeEWN-I1oV_STSDYn1IFDPWt_1FKiwhDph83XaGc0o0/edit?usp=sharing"",""งบพรบ!FM44"")"),0)</f>
        <v>0</v>
      </c>
      <c r="N397" s="870">
        <f ca="1">IFERROR(__xludf.DUMMYFUNCTION("IMPORTRANGE(""https://docs.google.com/spreadsheets/d/1MeEWN-I1oV_STSDYn1IFDPWt_1FKiwhDph83XaGc0o0/edit?usp=sharing"",""งบพรบ!FO44"")"),0)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IFERROR(__xludf.DUMMYFUNCTION("IMPORTRANGE(""https://docs.google.com/spreadsheets/d/1MeEWN-I1oV_STSDYn1IFDPWt_1FKiwhDph83XaGc0o0/edit?usp=sharing"",""งบพรบ!FQ44"")"),0)</f>
        <v>0</v>
      </c>
      <c r="M407" s="870">
        <f ca="1">IFERROR(__xludf.DUMMYFUNCTION("IMPORTRANGE(""https://docs.google.com/spreadsheets/d/1MeEWN-I1oV_STSDYn1IFDPWt_1FKiwhDph83XaGc0o0/edit?usp=sharing"",""งบพรบ!FV44"")"),0)</f>
        <v>0</v>
      </c>
      <c r="N407" s="870">
        <f ca="1">IFERROR(__xludf.DUMMYFUNCTION("IMPORTRANGE(""https://docs.google.com/spreadsheets/d/1MeEWN-I1oV_STSDYn1IFDPWt_1FKiwhDph83XaGc0o0/edit?usp=sharing"",""งบพรบ!FX44"")"),0)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IFERROR(__xludf.DUMMYFUNCTION("IMPORTRANGE(""https://docs.google.com/spreadsheets/d/1MeEWN-I1oV_STSDYn1IFDPWt_1FKiwhDph83XaGc0o0/edit?usp=sharing"",""งบพรบ!FT44"")"),0)</f>
        <v>0</v>
      </c>
      <c r="M410" s="870">
        <f ca="1">IFERROR(__xludf.DUMMYFUNCTION("IMPORTRANGE(""https://docs.google.com/spreadsheets/d/1MeEWN-I1oV_STSDYn1IFDPWt_1FKiwhDph83XaGc0o0/edit?usp=sharing"",""งบพรบ!FW44"")"),0)</f>
        <v>0</v>
      </c>
      <c r="N410" s="870">
        <f ca="1">IFERROR(__xludf.DUMMYFUNCTION("IMPORTRANGE(""https://docs.google.com/spreadsheets/d/1MeEWN-I1oV_STSDYn1IFDPWt_1FKiwhDph83XaGc0o0/edit?usp=sharing"",""งบพรบ!FY44"")"),0)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2315871</v>
      </c>
      <c r="M414" s="1257">
        <f t="shared" si="181"/>
        <v>0</v>
      </c>
      <c r="N414" s="1257">
        <f t="shared" si="181"/>
        <v>319430</v>
      </c>
      <c r="O414" s="1257">
        <f ca="1">IF(L414&gt;0,N414*100/L414,0)</f>
        <v>13.79308260261474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55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163360</v>
      </c>
      <c r="M419" s="972">
        <f t="shared" si="184"/>
        <v>0</v>
      </c>
      <c r="N419" s="972">
        <f t="shared" si="184"/>
        <v>3200</v>
      </c>
      <c r="O419" s="972">
        <f t="shared" ref="O419:O424" ca="1" si="185">IF(L419&gt;0,N419*100/L419,0)</f>
        <v>1.9588638589618022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163360</v>
      </c>
      <c r="M421" s="870">
        <f t="shared" si="187"/>
        <v>0</v>
      </c>
      <c r="N421" s="870">
        <f t="shared" si="187"/>
        <v>3200</v>
      </c>
      <c r="O421" s="870">
        <f t="shared" ca="1" si="185"/>
        <v>1.9588638589618022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163360</v>
      </c>
      <c r="M422" s="864">
        <f t="shared" si="188"/>
        <v>0</v>
      </c>
      <c r="N422" s="864">
        <f t="shared" si="188"/>
        <v>3200</v>
      </c>
      <c r="O422" s="864">
        <f t="shared" ca="1" si="185"/>
        <v>1.9588638589618022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IFERROR(__xludf.DUMMYFUNCTION("IMPORTRANGE(""https://docs.google.com/spreadsheets/d/1QqKyyYR6Q21VydFLVH3TRQUabQu_ym0Zz7PgGX0-kHA/edit?usp=sharing"",""แผน!EY44"")"),163360)</f>
        <v>163360</v>
      </c>
      <c r="M424" s="870">
        <v>0</v>
      </c>
      <c r="N424" s="870">
        <f>N425+N426+N427+N428</f>
        <v>3200</v>
      </c>
      <c r="O424" s="870">
        <f t="shared" ca="1" si="185"/>
        <v>1.9588638589618022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3200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IFERROR(__xludf.DUMMYFUNCTION("IMPORTRANGE(""https://docs.google.com/spreadsheets/d/1QqKyyYR6Q21VydFLVH3TRQUabQu_ym0Zz7PgGX0-kHA/edit?usp=sharing"",""แผน!FB44"")"),0)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55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IFERROR(__xludf.DUMMYFUNCTION("IMPORTRANGE(""https://docs.google.com/spreadsheets/d/1QqKyyYR6Q21VydFLVH3TRQUabQu_ym0Zz7PgGX0-kHA/edit?usp=sharing"",""แผน!FC44"")"),55)</f>
        <v>55</v>
      </c>
      <c r="J435" s="578">
        <v>55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IFERROR(__xludf.DUMMYFUNCTION("IMPORTRANGE(""https://docs.google.com/spreadsheets/d/1QqKyyYR6Q21VydFLVH3TRQUabQu_ym0Zz7PgGX0-kHA/edit?usp=sharing"",""แผน!FD44"")"),0)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IFERROR(__xludf.DUMMYFUNCTION("IMPORTRANGE(""https://docs.google.com/spreadsheets/d/1QqKyyYR6Q21VydFLVH3TRQUabQu_ym0Zz7PgGX0-kHA/edit?usp=sharing"",""แผน!FE44"")"),0)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IFERROR(__xludf.DUMMYFUNCTION("IMPORTRANGE(""https://docs.google.com/spreadsheets/d/1QqKyyYR6Q21VydFLVH3TRQUabQu_ym0Zz7PgGX0-kHA/edit?usp=sharing"",""แผน!FF44"")"),55)</f>
        <v>55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IFERROR(__xludf.DUMMYFUNCTION("IMPORTRANGE(""https://docs.google.com/spreadsheets/d/1QqKyyYR6Q21VydFLVH3TRQUabQu_ym0Zz7PgGX0-kHA/edit?usp=sharing"",""แผน!FG44"")"),1)</f>
        <v>1</v>
      </c>
      <c r="J440" s="992">
        <v>0</v>
      </c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IFERROR(__xludf.DUMMYFUNCTION("IMPORTRANGE(""https://docs.google.com/spreadsheets/d/1QqKyyYR6Q21VydFLVH3TRQUabQu_ym0Zz7PgGX0-kHA/edit?usp=sharing"",""แผน!FH44"")"),0)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40</v>
      </c>
      <c r="J442" s="1285">
        <f t="shared" si="195"/>
        <v>40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200</v>
      </c>
      <c r="J443" s="1270">
        <f t="shared" si="196"/>
        <v>200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403680</v>
      </c>
      <c r="M444" s="1000">
        <f t="shared" si="197"/>
        <v>0</v>
      </c>
      <c r="N444" s="1000">
        <f t="shared" si="197"/>
        <v>151430</v>
      </c>
      <c r="O444" s="1000">
        <f t="shared" ref="O444:O449" ca="1" si="198">IF(L444&gt;0,N444*100/L444,0)</f>
        <v>37.512386048355133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403680</v>
      </c>
      <c r="M446" s="870">
        <f t="shared" si="200"/>
        <v>0</v>
      </c>
      <c r="N446" s="870">
        <f t="shared" si="200"/>
        <v>151430</v>
      </c>
      <c r="O446" s="870">
        <f t="shared" ca="1" si="198"/>
        <v>37.512386048355133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403680</v>
      </c>
      <c r="M447" s="864">
        <f t="shared" si="201"/>
        <v>0</v>
      </c>
      <c r="N447" s="864">
        <f t="shared" si="201"/>
        <v>151430</v>
      </c>
      <c r="O447" s="864">
        <f t="shared" ca="1" si="198"/>
        <v>37.512386048355133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IFERROR(__xludf.DUMMYFUNCTION("IMPORTRANGE(""https://docs.google.com/spreadsheets/d/1QqKyyYR6Q21VydFLVH3TRQUabQu_ym0Zz7PgGX0-kHA/edit?usp=sharing"",""แผน!FJ44"")"),403680)</f>
        <v>403680</v>
      </c>
      <c r="M449" s="870">
        <v>0</v>
      </c>
      <c r="N449" s="870">
        <f>N450+N451+N452+N453</f>
        <v>151430</v>
      </c>
      <c r="O449" s="870">
        <f t="shared" ca="1" si="198"/>
        <v>37.512386048355133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36190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61400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1840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IFERROR(__xludf.DUMMYFUNCTION("IMPORTRANGE(""https://docs.google.com/spreadsheets/d/1QqKyyYR6Q21VydFLVH3TRQUabQu_ym0Zz7PgGX0-kHA/edit?usp=sharing"",""แผน!FM44"")"),0)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IFERROR(__xludf.DUMMYFUNCTION("IMPORTRANGE(""https://docs.google.com/spreadsheets/d/1QqKyyYR6Q21VydFLVH3TRQUabQu_ym0Zz7PgGX0-kHA/edit?usp=sharing"",""แผน!FN44"")"),40)</f>
        <v>40</v>
      </c>
      <c r="J460" s="992">
        <v>40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IFERROR(__xludf.DUMMYFUNCTION("IMPORTRANGE(""https://docs.google.com/spreadsheets/d/1QqKyyYR6Q21VydFLVH3TRQUabQu_ym0Zz7PgGX0-kHA/edit?usp=sharing"",""แผน!FO44"")"),200)</f>
        <v>200</v>
      </c>
      <c r="J462" s="992">
        <v>200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IFERROR(__xludf.DUMMYFUNCTION("IMPORTRANGE(""https://docs.google.com/spreadsheets/d/1QqKyyYR6Q21VydFLVH3TRQUabQu_ym0Zz7PgGX0-kHA/edit?usp=sharing"",""แผน!FO44"")"),200)</f>
        <v>200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IFERROR(__xludf.DUMMYFUNCTION("IMPORTRANGE(""https://docs.google.com/spreadsheets/d/1QqKyyYR6Q21VydFLVH3TRQUabQu_ym0Zz7PgGX0-kHA/edit?usp=sharing"",""แผน!FN44"")"),40)</f>
        <v>40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IFERROR(__xludf.DUMMYFUNCTION("IMPORTRANGE(""https://docs.google.com/spreadsheets/d/1QqKyyYR6Q21VydFLVH3TRQUabQu_ym0Zz7PgGX0-kHA/edit?usp=sharing"",""แผน!FX44"")"),51)</f>
        <v>51</v>
      </c>
      <c r="J465" s="1285">
        <f>J485+J489+J492</f>
        <v>51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IFERROR(__xludf.DUMMYFUNCTION("IMPORTRANGE(""https://docs.google.com/spreadsheets/d/1QqKyyYR6Q21VydFLVH3TRQUabQu_ym0Zz7PgGX0-kHA/edit?usp=sharing"",""แผน!FW44"")"),500)</f>
        <v>500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414503</v>
      </c>
      <c r="M467" s="1000">
        <f t="shared" si="206"/>
        <v>0</v>
      </c>
      <c r="N467" s="1000">
        <f t="shared" si="206"/>
        <v>11560</v>
      </c>
      <c r="O467" s="1000">
        <f t="shared" ref="O467:O472" ca="1" si="207">IF(L467&gt;0,N467*100/L467,0)</f>
        <v>2.7888821070052567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414503</v>
      </c>
      <c r="M469" s="870">
        <f t="shared" si="209"/>
        <v>0</v>
      </c>
      <c r="N469" s="870">
        <f t="shared" si="209"/>
        <v>11560</v>
      </c>
      <c r="O469" s="870">
        <f t="shared" ca="1" si="207"/>
        <v>2.7888821070052567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414503</v>
      </c>
      <c r="M470" s="864">
        <f t="shared" si="210"/>
        <v>0</v>
      </c>
      <c r="N470" s="864">
        <f t="shared" si="210"/>
        <v>11560</v>
      </c>
      <c r="O470" s="864">
        <f t="shared" ca="1" si="207"/>
        <v>2.7888821070052567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IFERROR(__xludf.DUMMYFUNCTION("IMPORTRANGE(""https://docs.google.com/spreadsheets/d/1QqKyyYR6Q21VydFLVH3TRQUabQu_ym0Zz7PgGX0-kHA/edit?usp=sharing"",""แผน!FS44"")"),414503)</f>
        <v>414503</v>
      </c>
      <c r="M472" s="870">
        <v>0</v>
      </c>
      <c r="N472" s="870">
        <f>N473+N474+N475+N476</f>
        <v>11560</v>
      </c>
      <c r="O472" s="870">
        <f t="shared" ca="1" si="207"/>
        <v>2.7888821070052567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11560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IFERROR(__xludf.DUMMYFUNCTION("IMPORTRANGE(""https://docs.google.com/spreadsheets/d/1QqKyyYR6Q21VydFLVH3TRQUabQu_ym0Zz7PgGX0-kHA/edit?usp=sharing"",""แผน!FV44"")"),0)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IFERROR(__xludf.DUMMYFUNCTION("IMPORTRANGE(""https://docs.google.com/spreadsheets/d/1QqKyyYR6Q21VydFLVH3TRQUabQu_ym0Zz7PgGX0-kHA/edit?usp=sharing"",""แผน!FY44"")"),450)</f>
        <v>450</v>
      </c>
      <c r="J483" s="992">
        <v>450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IFERROR(__xludf.DUMMYFUNCTION("IMPORTRANGE(""https://docs.google.com/spreadsheets/d/1QqKyyYR6Q21VydFLVH3TRQUabQu_ym0Zz7PgGX0-kHA/edit?usp=sharing"",""แผน!FZ44"")"),45)</f>
        <v>45</v>
      </c>
      <c r="J485" s="992">
        <v>45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IFERROR(__xludf.DUMMYFUNCTION("IMPORTRANGE(""https://docs.google.com/spreadsheets/d/1QqKyyYR6Q21VydFLVH3TRQUabQu_ym0Zz7PgGX0-kHA/edit?usp=sharing"",""แผน!GA44"")"),50)</f>
        <v>50</v>
      </c>
      <c r="J487" s="992">
        <v>50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IFERROR(__xludf.DUMMYFUNCTION("IMPORTRANGE(""https://docs.google.com/spreadsheets/d/1QqKyyYR6Q21VydFLVH3TRQUabQu_ym0Zz7PgGX0-kHA/edit?usp=sharing"",""แผน!GB44"")"),5)</f>
        <v>5</v>
      </c>
      <c r="J489" s="992">
        <v>5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IFERROR(__xludf.DUMMYFUNCTION("IMPORTRANGE(""https://docs.google.com/spreadsheets/d/1QqKyyYR6Q21VydFLVH3TRQUabQu_ym0Zz7PgGX0-kHA/edit?usp=sharing"",""แผน!GC44"")"),1)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IFERROR(__xludf.DUMMYFUNCTION("IMPORTRANGE(""https://docs.google.com/spreadsheets/d/1QqKyyYR6Q21VydFLVH3TRQUabQu_ym0Zz7PgGX0-kHA/edit?usp=sharing"",""แผน!FY44"")"),450)</f>
        <v>450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IFERROR(__xludf.DUMMYFUNCTION("IMPORTRANGE(""https://docs.google.com/spreadsheets/d/1QqKyyYR6Q21VydFLVH3TRQUabQu_ym0Zz7PgGX0-kHA/edit?usp=sharing"",""แผน!GA44"")"),50)</f>
        <v>50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IFERROR(__xludf.DUMMYFUNCTION("IMPORTRANGE(""https://docs.google.com/spreadsheets/d/1QqKyyYR6Q21VydFLVH3TRQUabQu_ym0Zz7PgGX0-kHA/edit?usp=sharing"",""แผน!GQ44"")"),0)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IFERROR(__xludf.DUMMYFUNCTION("IMPORTRANGE(""https://docs.google.com/spreadsheets/d/1QqKyyYR6Q21VydFLVH3TRQUabQu_ym0Zz7PgGX0-kHA/edit?usp=sharing"",""แผน!GT44"")"),0)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IFERROR(__xludf.DUMMYFUNCTION("IMPORTRANGE(""https://docs.google.com/spreadsheets/d/1QqKyyYR6Q21VydFLVH3TRQUabQu_ym0Zz7PgGX0-kHA/edit?usp=sharing"",""แผน!GU44"")"),0)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IFERROR(__xludf.DUMMYFUNCTION("IMPORTRANGE(""https://docs.google.com/spreadsheets/d/1QqKyyYR6Q21VydFLVH3TRQUabQu_ym0Zz7PgGX0-kHA/edit?usp=sharing"",""แผน!GV44"")"),0)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IFERROR(__xludf.DUMMYFUNCTION("IMPORTRANGE(""https://docs.google.com/spreadsheets/d/1QqKyyYR6Q21VydFLVH3TRQUabQu_ym0Zz7PgGX0-kHA/edit?usp=sharing"",""แผน!GW44"")"),0)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IFERROR(__xludf.DUMMYFUNCTION("IMPORTRANGE(""https://docs.google.com/spreadsheets/d/1QqKyyYR6Q21VydFLVH3TRQUabQu_ym0Zz7PgGX0-kHA/edit?usp=sharing"",""แผน!GX44"")"),0)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IFERROR(__xludf.DUMMYFUNCTION("IMPORTRANGE(""https://docs.google.com/spreadsheets/d/1QqKyyYR6Q21VydFLVH3TRQUabQu_ym0Zz7PgGX0-kHA/edit?usp=sharing"",""แผน!GY44"")"),0)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IFERROR(__xludf.DUMMYFUNCTION("IMPORTRANGE(""https://docs.google.com/spreadsheets/d/1QqKyyYR6Q21VydFLVH3TRQUabQu_ym0Zz7PgGX0-kHA/edit?usp=sharing"",""แผน!GZ44"")"),0)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11002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786183</v>
      </c>
      <c r="M544" s="972">
        <f t="shared" si="236"/>
        <v>0</v>
      </c>
      <c r="N544" s="972">
        <f t="shared" si="236"/>
        <v>63590</v>
      </c>
      <c r="O544" s="972">
        <f t="shared" ref="O544:O549" ca="1" si="237">IF(L544&gt;0,N544*100/L544,0)</f>
        <v>8.0884476006222474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786183</v>
      </c>
      <c r="M546" s="870">
        <f t="shared" si="240"/>
        <v>0</v>
      </c>
      <c r="N546" s="870">
        <f t="shared" si="240"/>
        <v>63590</v>
      </c>
      <c r="O546" s="870">
        <f t="shared" ca="1" si="237"/>
        <v>8.0884476006222474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786183</v>
      </c>
      <c r="M547" s="864">
        <f t="shared" si="241"/>
        <v>0</v>
      </c>
      <c r="N547" s="864">
        <f t="shared" si="241"/>
        <v>63590</v>
      </c>
      <c r="O547" s="864">
        <f t="shared" ca="1" si="237"/>
        <v>8.0884476006222474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IFERROR(__xludf.DUMMYFUNCTION("IMPORTRANGE(""https://docs.google.com/spreadsheets/d/1QqKyyYR6Q21VydFLVH3TRQUabQu_ym0Zz7PgGX0-kHA/edit?usp=sharing"",""แผน!HB44"")"),786183)</f>
        <v>786183</v>
      </c>
      <c r="M549" s="870">
        <v>0</v>
      </c>
      <c r="N549" s="870">
        <f>N550+N551+N552+N553+N554</f>
        <v>63590</v>
      </c>
      <c r="O549" s="870">
        <f t="shared" ca="1" si="237"/>
        <v>8.0884476006222474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f>26000+8250</f>
        <v>34250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29340</f>
        <v>29340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IFERROR(__xludf.DUMMYFUNCTION("IMPORTRANGE(""https://docs.google.com/spreadsheets/d/1QqKyyYR6Q21VydFLVH3TRQUabQu_ym0Zz7PgGX0-kHA/edit?usp=sharing"",""แผน!HF44"")"),0)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11002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IFERROR(__xludf.DUMMYFUNCTION("IMPORTRANGE(""https://docs.google.com/spreadsheets/d/1QqKyyYR6Q21VydFLVH3TRQUabQu_ym0Zz7PgGX0-kHA/edit?usp=sharing"",""แผน!HH44"")"),11002)</f>
        <v>11002</v>
      </c>
      <c r="J560" s="998">
        <f t="shared" ref="J560:J561" si="247">J562+J564+J566</f>
        <v>8348.4000000000015</v>
      </c>
      <c r="K560" s="1142">
        <f t="shared" ca="1" si="246"/>
        <v>75.880748954735509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IFERROR(__xludf.DUMMYFUNCTION("IMPORTRANGE(""https://docs.google.com/spreadsheets/d/1QqKyyYR6Q21VydFLVH3TRQUabQu_ym0Zz7PgGX0-kHA/edit?usp=sharing"",""แผน!HG44"")"),4838)</f>
        <v>4838</v>
      </c>
      <c r="J561" s="998">
        <f t="shared" si="247"/>
        <v>3852</v>
      </c>
      <c r="K561" s="1142">
        <f t="shared" ca="1" si="246"/>
        <v>79.619677552707728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6781.8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3278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869.6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296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697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278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IFERROR(__xludf.DUMMYFUNCTION("IMPORTRANGE(""https://docs.google.com/spreadsheets/d/1QqKyyYR6Q21VydFLVH3TRQUabQu_ym0Zz7PgGX0-kHA/edit?usp=sharing"",""แผน!HH44"")"),11002)</f>
        <v>11002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IFERROR(__xludf.DUMMYFUNCTION("IMPORTRANGE(""https://docs.google.com/spreadsheets/d/1QqKyyYR6Q21VydFLVH3TRQUabQu_ym0Zz7PgGX0-kHA/edit?usp=sharing"",""แผน!HG44"")"),4838)</f>
        <v>4838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IFERROR(__xludf.DUMMYFUNCTION("IMPORTRANGE(""https://docs.google.com/spreadsheets/d/1QqKyyYR6Q21VydFLVH3TRQUabQu_ym0Zz7PgGX0-kHA/edit?usp=sharing"",""แผน!HH44"")"),11002)</f>
        <v>11002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IFERROR(__xludf.DUMMYFUNCTION("IMPORTRANGE(""https://docs.google.com/spreadsheets/d/1QqKyyYR6Q21VydFLVH3TRQUabQu_ym0Zz7PgGX0-kHA/edit?usp=sharing"",""แผน!HG44"")"),4838)</f>
        <v>4838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5265.94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IFERROR(__xludf.DUMMYFUNCTION("IMPORTRANGE(""https://docs.google.com/spreadsheets/d/1QqKyyYR6Q21VydFLVH3TRQUabQu_ym0Zz7PgGX0-kHA/edit?usp=sharing"",""แผน!HJ44"")"),5265.94)</f>
        <v>5265.94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IFERROR(__xludf.DUMMYFUNCTION("IMPORTRANGE(""https://docs.google.com/spreadsheets/d/1QqKyyYR6Q21VydFLVH3TRQUabQu_ym0Zz7PgGX0-kHA/edit?usp=sharing"",""แผน!HI44"")"),1025)</f>
        <v>1025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IFERROR(__xludf.DUMMYFUNCTION("IMPORTRANGE(""https://docs.google.com/spreadsheets/d/1QqKyyYR6Q21VydFLVH3TRQUabQu_ym0Zz7PgGX0-kHA/edit?usp=sharing"",""แผน!HL44"")"),52)</f>
        <v>52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IFERROR(__xludf.DUMMYFUNCTION("IMPORTRANGE(""https://docs.google.com/spreadsheets/d/1QqKyyYR6Q21VydFLVH3TRQUabQu_ym0Zz7PgGX0-kHA/edit?usp=sharing"",""แผน!HK44"")"),18)</f>
        <v>18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350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532545</v>
      </c>
      <c r="M629" s="1000">
        <f t="shared" si="263"/>
        <v>0</v>
      </c>
      <c r="N629" s="1000">
        <f t="shared" si="263"/>
        <v>76310</v>
      </c>
      <c r="O629" s="1000">
        <f t="shared" ref="O629:O634" ca="1" si="264">IF(L629&gt;0,N629*100/L629,0)</f>
        <v>14.329305504699134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532545</v>
      </c>
      <c r="M631" s="870">
        <f t="shared" si="266"/>
        <v>0</v>
      </c>
      <c r="N631" s="870">
        <f t="shared" si="266"/>
        <v>76310</v>
      </c>
      <c r="O631" s="870">
        <f t="shared" ca="1" si="264"/>
        <v>14.329305504699134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532545</v>
      </c>
      <c r="M632" s="864">
        <f t="shared" si="267"/>
        <v>0</v>
      </c>
      <c r="N632" s="864">
        <f t="shared" si="267"/>
        <v>76310</v>
      </c>
      <c r="O632" s="864">
        <f t="shared" ca="1" si="264"/>
        <v>14.329305504699134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IFERROR(__xludf.DUMMYFUNCTION("IMPORTRANGE(""https://docs.google.com/spreadsheets/d/1QqKyyYR6Q21VydFLVH3TRQUabQu_ym0Zz7PgGX0-kHA/edit?usp=sharing"",""แผน!HN44"")"),532545)</f>
        <v>532545</v>
      </c>
      <c r="M634" s="870">
        <v>0</v>
      </c>
      <c r="N634" s="870">
        <f>N635+N636+N637+N638</f>
        <v>76310</v>
      </c>
      <c r="O634" s="870">
        <f t="shared" ca="1" si="264"/>
        <v>14.329305504699134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f>26000+4170</f>
        <v>30170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33000+13140</f>
        <v>46140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IFERROR(__xludf.DUMMYFUNCTION("IMPORTRANGE(""https://docs.google.com/spreadsheets/d/1QqKyyYR6Q21VydFLVH3TRQUabQu_ym0Zz7PgGX0-kHA/edit?usp=sharing"",""แผน!HQ44"")"),0)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IFERROR(__xludf.DUMMYFUNCTION("IMPORTRANGE(""https://docs.google.com/spreadsheets/d/1QqKyyYR6Q21VydFLVH3TRQUabQu_ym0Zz7PgGX0-kHA/edit?usp=sharing"",""แผน!HR44"")"),0)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IFERROR(__xludf.DUMMYFUNCTION("IMPORTRANGE(""https://docs.google.com/spreadsheets/d/1QqKyyYR6Q21VydFLVH3TRQUabQu_ym0Zz7PgGX0-kHA/edit?usp=sharing"",""แผน!HR44"")"),0)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IFERROR(__xludf.DUMMYFUNCTION("IMPORTRANGE(""https://docs.google.com/spreadsheets/d/1XWAQStnk-4SwqDmLtmXYiTMKHgktTP8We1SCoS47DrQ/edit?usp=sharing"",""จัดที่ดิน!AS44"")"),372)</f>
        <v>372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IFERROR(__xludf.DUMMYFUNCTION("IMPORTRANGE(""https://docs.google.com/spreadsheets/d/1XWAQStnk-4SwqDmLtmXYiTMKHgktTP8We1SCoS47DrQ/edit?usp=sharing"",""จัดที่ดิน!AT44"")"),202.96)</f>
        <v>202.96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IFERROR(__xludf.DUMMYFUNCTION("IMPORTRANGE(""https://docs.google.com/spreadsheets/d/1QqKyyYR6Q21VydFLVH3TRQUabQu_ym0Zz7PgGX0-kHA/edit?usp=sharing"",""แผน!HS44"")"),350)</f>
        <v>350</v>
      </c>
      <c r="J647" s="863">
        <f ca="1">IFERROR(__xludf.DUMMYFUNCTION("IMPORTRANGE(""https://docs.google.com/spreadsheets/d/1XWAQStnk-4SwqDmLtmXYiTMKHgktTP8We1SCoS47DrQ/edit?usp=sharing"",""จัดที่ดิน!AU44"")"),224)</f>
        <v>224</v>
      </c>
      <c r="K647" s="978">
        <f t="shared" ca="1" si="271"/>
        <v>64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IFERROR(__xludf.DUMMYFUNCTION("IMPORTRANGE(""https://docs.google.com/spreadsheets/d/1XWAQStnk-4SwqDmLtmXYiTMKHgktTP8We1SCoS47DrQ/edit?usp=sharing"",""จัดที่ดิน!AV44"")"),109.55)</f>
        <v>109.55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IFERROR(__xludf.DUMMYFUNCTION("IMPORTRANGE(""https://docs.google.com/spreadsheets/d/1QqKyyYR6Q21VydFLVH3TRQUabQu_ym0Zz7PgGX0-kHA/edit?usp=sharing"",""แผน!HS44"")"),350)</f>
        <v>350</v>
      </c>
      <c r="J649" s="863">
        <f ca="1">IFERROR(__xludf.DUMMYFUNCTION("IMPORTRANGE(""https://docs.google.com/spreadsheets/d/1XWAQStnk-4SwqDmLtmXYiTMKHgktTP8We1SCoS47DrQ/edit?usp=sharing"",""จัดที่ดิน!AW44"")"),34)</f>
        <v>34</v>
      </c>
      <c r="K649" s="978">
        <f t="shared" ca="1" si="271"/>
        <v>9.7142857142857135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IFERROR(__xludf.DUMMYFUNCTION("IMPORTRANGE(""https://docs.google.com/spreadsheets/d/1XWAQStnk-4SwqDmLtmXYiTMKHgktTP8We1SCoS47DrQ/edit?usp=sharing"",""จัดที่ดิน!AX44"")"),19.93)</f>
        <v>19.93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IFERROR(__xludf.DUMMYFUNCTION("IMPORTRANGE(""https://docs.google.com/spreadsheets/d/1QqKyyYR6Q21VydFLVH3TRQUabQu_ym0Zz7PgGX0-kHA/edit?usp=sharing"",""แผน!HS44"")"),350)</f>
        <v>350</v>
      </c>
      <c r="J651" s="863">
        <f ca="1">IFERROR(__xludf.DUMMYFUNCTION("IMPORTRANGE(""https://docs.google.com/spreadsheets/d/1XWAQStnk-4SwqDmLtmXYiTMKHgktTP8We1SCoS47DrQ/edit?usp=sharing"",""จัดที่ดิน!AY44"")"),0)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IFERROR(__xludf.DUMMYFUNCTION("IMPORTRANGE(""https://docs.google.com/spreadsheets/d/1XWAQStnk-4SwqDmLtmXYiTMKHgktTP8We1SCoS47DrQ/edit?usp=sharing"",""จัดที่ดิน!AZ44"")"),0)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13340</v>
      </c>
      <c r="O655" s="1000">
        <f t="shared" ref="O655:O660" ca="1" si="274">IF(L655&gt;0,N655*100/L655,0)</f>
        <v>85.512820512820511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13340</v>
      </c>
      <c r="O657" s="870">
        <f t="shared" ca="1" si="274"/>
        <v>85.512820512820511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13340</v>
      </c>
      <c r="O658" s="864">
        <f t="shared" ca="1" si="274"/>
        <v>85.512820512820511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IFERROR(__xludf.DUMMYFUNCTION("IMPORTRANGE(""https://docs.google.com/spreadsheets/d/1QqKyyYR6Q21VydFLVH3TRQUabQu_ym0Zz7PgGX0-kHA/edit?usp=sharing"",""แผน!HV44"")"),15600)</f>
        <v>15600</v>
      </c>
      <c r="M660" s="870">
        <v>0</v>
      </c>
      <c r="N660" s="870">
        <f>N661+N662+N663+N664</f>
        <v>13340</v>
      </c>
      <c r="O660" s="870">
        <f t="shared" ca="1" si="274"/>
        <v>85.512820512820511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13340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IFERROR(__xludf.DUMMYFUNCTION("IMPORTRANGE(""https://docs.google.com/spreadsheets/d/1QqKyyYR6Q21VydFLVH3TRQUabQu_ym0Zz7PgGX0-kHA/edit?usp=sharing"",""แผน!IA44"")"),100)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IFERROR(__xludf.DUMMYFUNCTION("IMPORTRANGE(""https://docs.google.com/spreadsheets/d/1QqKyyYR6Q21VydFLVH3TRQUabQu_ym0Zz7PgGX0-kHA/edit?usp=sharing"",""แผน!HZ44"")"),6)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IFERROR(__xludf.DUMMYFUNCTION("IMPORTRANGE(""https://docs.google.com/spreadsheets/d/1QqKyyYR6Q21VydFLVH3TRQUabQu_ym0Zz7PgGX0-kHA/edit?usp=sharing"",""แผน!HZ44"")"),6)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18</v>
      </c>
      <c r="K672" s="864">
        <f t="shared" ref="K672:K675" ca="1" si="281">IF(I$669&gt;0,J672*100/I$669,0)</f>
        <v>18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18</v>
      </c>
      <c r="K673" s="864">
        <f t="shared" ca="1" si="281"/>
        <v>18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IFERROR(__xludf.DUMMYFUNCTION("IMPORTRANGE(""https://docs.google.com/spreadsheets/d/1QqKyyYR6Q21VydFLVH3TRQUabQu_ym0Zz7PgGX0-kHA/edit?usp=sharing"",""แผน!IB44"")"),0)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 hidden="1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 hidden="1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 hidden="1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IFERROR(__xludf.DUMMYFUNCTION("IMPORTRANGE(""https://docs.google.com/spreadsheets/d/1QqKyyYR6Q21VydFLVH3TRQUabQu_ym0Zz7PgGX0-kHA/edit?usp=sharing"",""แผน!HW44"")"),0)</f>
        <v>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 hidden="1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 hidden="1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 hidden="1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 hidden="1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 hidden="1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 hidden="1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 hidden="1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IFERROR(__xludf.DUMMYFUNCTION("IMPORTRANGE(""https://docs.google.com/spreadsheets/d/1QqKyyYR6Q21VydFLVH3TRQUabQu_ym0Zz7PgGX0-kHA/edit?usp=sharing"",""แผน!IC44"")"),0)</f>
        <v>0</v>
      </c>
      <c r="J699" s="863">
        <f ca="1">IFERROR(__xludf.DUMMYFUNCTION("IMPORTRANGE(""https://docs.google.com/spreadsheets/d/1XWAQStnk-4SwqDmLtmXYiTMKHgktTP8We1SCoS47DrQ/edit?usp=sharing"",""จัดที่ดิน!BB44"")"),0)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 hidden="1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IFERROR(__xludf.DUMMYFUNCTION("IMPORTRANGE(""https://docs.google.com/spreadsheets/d/1QqKyyYR6Q21VydFLVH3TRQUabQu_ym0Zz7PgGX0-kHA/edit?usp=sharing"",""แผน!ID44"")"),0)</f>
        <v>0</v>
      </c>
      <c r="J700" s="863">
        <f ca="1">IFERROR(__xludf.DUMMYFUNCTION("IMPORTRANGE(""https://docs.google.com/spreadsheets/d/1XWAQStnk-4SwqDmLtmXYiTMKHgktTP8We1SCoS47DrQ/edit?usp=sharing"",""จัดที่ดิน!BD44"")"),0)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IFERROR(__xludf.DUMMYFUNCTION("IMPORTRANGE(""https://docs.google.com/spreadsheets/d/1QqKyyYR6Q21VydFLVH3TRQUabQu_ym0Zz7PgGX0-kHA/edit?usp=sharing"",""แผน!IE44"")"),0)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IFERROR(__xludf.DUMMYFUNCTION("IMPORTRANGE(""https://docs.google.com/spreadsheets/d/1QqKyyYR6Q21VydFLVH3TRQUabQu_ym0Zz7PgGX0-kHA/edit?usp=sharing"",""แผน!IF44"")"),0)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IFERROR(__xludf.DUMMYFUNCTION("IMPORTRANGE(""https://docs.google.com/spreadsheets/d/1QqKyyYR6Q21VydFLVH3TRQUabQu_ym0Zz7PgGX0-kHA/edit?usp=sharing"",""แผน!IG44"")"),0)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IFERROR(__xludf.DUMMYFUNCTION("IMPORTRANGE(""https://docs.google.com/spreadsheets/d/1QqKyyYR6Q21VydFLVH3TRQUabQu_ym0Zz7PgGX0-kHA/edit?usp=sharing"",""แผน!IH44"")"),0)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IFERROR(__xludf.DUMMYFUNCTION("IMPORTRANGE(""https://docs.google.com/spreadsheets/d/1XWAQStnk-4SwqDmLtmXYiTMKHgktTP8We1SCoS47DrQ/edit?usp=sharing"",""จัดที่ดิน!BF44"")"),0)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IFERROR(__xludf.DUMMYFUNCTION("IMPORTRANGE(""https://docs.google.com/spreadsheets/d/1XWAQStnk-4SwqDmLtmXYiTMKHgktTP8We1SCoS47DrQ/edit?usp=sharing"",""จัดที่ดิน!BG44"")"),0)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IFERROR(__xludf.DUMMYFUNCTION("IMPORTRANGE(""https://docs.google.com/spreadsheets/d/1QqKyyYR6Q21VydFLVH3TRQUabQu_ym0Zz7PgGX0-kHA/edit?usp=sharing"",""แผน!II44"")"),0)</f>
        <v>0</v>
      </c>
      <c r="J720" s="863">
        <f ca="1">IFERROR(__xludf.DUMMYFUNCTION("IMPORTRANGE(""https://docs.google.com/spreadsheets/d/1XWAQStnk-4SwqDmLtmXYiTMKHgktTP8We1SCoS47DrQ/edit?usp=sharing"",""จัดที่ดิน!BH44"")"),0)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IFERROR(__xludf.DUMMYFUNCTION("IMPORTRANGE(""https://docs.google.com/spreadsheets/d/1QqKyyYR6Q21VydFLVH3TRQUabQu_ym0Zz7PgGX0-kHA/edit?usp=sharing"",""แผน!IJ44"")"),0)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IFERROR(__xludf.DUMMYFUNCTION("IMPORTRANGE(""https://docs.google.com/spreadsheets/d/1QqKyyYR6Q21VydFLVH3TRQUabQu_ym0Zz7PgGX0-kHA/edit?usp=sharing"",""แผน!IK44"")"),0)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IFERROR(__xludf.DUMMYFUNCTION("IMPORTRANGE(""https://docs.google.com/spreadsheets/d/1QqKyyYR6Q21VydFLVH3TRQUabQu_ym0Zz7PgGX0-kHA/edit?usp=sharing"",""แผน!IL44"")"),0)</f>
        <v>0</v>
      </c>
      <c r="J723" s="863">
        <f ca="1">IFERROR(__xludf.DUMMYFUNCTION("IMPORTRANGE(""https://docs.google.com/spreadsheets/d/1XWAQStnk-4SwqDmLtmXYiTMKHgktTP8We1SCoS47DrQ/edit?usp=sharing"",""จัดที่ดิน!BM44"")"),0)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IFERROR(__xludf.DUMMYFUNCTION("IMPORTRANGE(""https://docs.google.com/spreadsheets/d/1XWAQStnk-4SwqDmLtmXYiTMKHgktTP8We1SCoS47DrQ/edit?usp=sharing"",""จัดที่ดิน!BN44"")"),0)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IFERROR(__xludf.DUMMYFUNCTION("IMPORTRANGE(""https://docs.google.com/spreadsheets/d/1QqKyyYR6Q21VydFLVH3TRQUabQu_ym0Zz7PgGX0-kHA/edit?usp=sharing"",""แผน!IM44"")"),0)</f>
        <v>0</v>
      </c>
      <c r="J725" s="863">
        <f ca="1">IFERROR(__xludf.DUMMYFUNCTION("IMPORTRANGE(""https://docs.google.com/spreadsheets/d/1XWAQStnk-4SwqDmLtmXYiTMKHgktTP8We1SCoS47DrQ/edit?usp=sharing"",""จัดที่ดิน!BO44"")"),0)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IFERROR(__xludf.DUMMYFUNCTION("IMPORTRANGE(""https://docs.google.com/spreadsheets/d/1QqKyyYR6Q21VydFLVH3TRQUabQu_ym0Zz7PgGX0-kHA/edit?usp=sharing"",""แผน!IN44"")"),0)</f>
        <v>0</v>
      </c>
      <c r="J726" s="863">
        <f ca="1">IFERROR(__xludf.DUMMYFUNCTION("IMPORTRANGE(""https://docs.google.com/spreadsheets/d/1XWAQStnk-4SwqDmLtmXYiTMKHgktTP8We1SCoS47DrQ/edit?usp=sharing"",""จัดที่ดิน!BR44"")"),0)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IFERROR(__xludf.DUMMYFUNCTION("IMPORTRANGE(""https://docs.google.com/spreadsheets/d/1XWAQStnk-4SwqDmLtmXYiTMKHgktTP8We1SCoS47DrQ/edit?usp=sharing"",""จัดที่ดิน!BS44"")"),0)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IFERROR(__xludf.DUMMYFUNCTION("IMPORTRANGE(""https://docs.google.com/spreadsheets/d/1QqKyyYR6Q21VydFLVH3TRQUabQu_ym0Zz7PgGX0-kHA/edit?usp=sharing"",""แผน!IO44"")"),0)</f>
        <v>0</v>
      </c>
      <c r="J728" s="863">
        <f ca="1">IFERROR(__xludf.DUMMYFUNCTION("IMPORTRANGE(""https://docs.google.com/spreadsheets/d/1XWAQStnk-4SwqDmLtmXYiTMKHgktTP8We1SCoS47DrQ/edit?usp=sharing"",""จัดที่ดิน!BT44"")"),0)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IFERROR(__xludf.DUMMYFUNCTION("IMPORTRANGE(""https://docs.google.com/spreadsheets/d/1QqKyyYR6Q21VydFLVH3TRQUabQu_ym0Zz7PgGX0-kHA/edit?usp=sharing"",""แผน!IP44"")"),0)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IFERROR(__xludf.DUMMYFUNCTION("IMPORTRANGE(""https://docs.google.com/spreadsheets/d/1QqKyyYR6Q21VydFLVH3TRQUabQu_ym0Zz7PgGX0-kHA/edit?usp=sharing"",""แผน!JJ44"")"),0)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IFERROR(__xludf.DUMMYFUNCTION("IMPORTRANGE(""https://docs.google.com/spreadsheets/d/1QqKyyYR6Q21VydFLVH3TRQUabQu_ym0Zz7PgGX0-kHA/edit?usp=sharing"",""แผน!JN44"")"),0)</f>
        <v>0</v>
      </c>
      <c r="J800" s="977">
        <f ca="1">IFERROR(__xludf.DUMMYFUNCTION("IMPORTRANGE(""https://docs.google.com/spreadsheets/d/1MaWodYyGHDf7siQLGxnXhG4mBNTNIuy296niS2xXulU/edit?usp=sharing"",""RTK!H44"")"),0)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IFERROR(__xludf.DUMMYFUNCTION("IMPORTRANGE(""https://docs.google.com/spreadsheets/d/1MaWodYyGHDf7siQLGxnXhG4mBNTNIuy296niS2xXulU/edit?usp=sharing"",""RTK!I44"")"),0)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863">
        <f ca="1">IFERROR(__xludf.DUMMYFUNCTION("IMPORTRANGE(""https://docs.google.com/spreadsheets/d/19vJNZY_5yjcGF2XGBMNZRCAIB0Kwfpjp8YEOfu-bneM/edit?usp=sharing"",""งานกองทุน!F44"")"),3322026.18)</f>
        <v>3322026.18</v>
      </c>
      <c r="K821" s="864">
        <f t="shared" ref="K821:K828" ca="1" si="335">IF(I821&gt;0,J821*100/I821,0)</f>
        <v>43.449634208756954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IFERROR(__xludf.DUMMYFUNCTION("IMPORTRANGE(""https://docs.google.com/spreadsheets/d/19vJNZY_5yjcGF2XGBMNZRCAIB0Kwfpjp8YEOfu-bneM/edit?usp=sharing"",""งานกองทุน!C44"")"),595)</f>
        <v>595</v>
      </c>
      <c r="J822" s="863">
        <f ca="1">IFERROR(__xludf.DUMMYFUNCTION("IMPORTRANGE(""https://docs.google.com/spreadsheets/d/19vJNZY_5yjcGF2XGBMNZRCAIB0Kwfpjp8YEOfu-bneM/edit?usp=sharing"",""งานกองทุน!E44"")"),307)</f>
        <v>307</v>
      </c>
      <c r="K822" s="864">
        <f t="shared" ca="1" si="335"/>
        <v>51.596638655462186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863">
        <f ca="1">IFERROR(__xludf.DUMMYFUNCTION("IMPORTRANGE(""https://docs.google.com/spreadsheets/d/19vJNZY_5yjcGF2XGBMNZRCAIB0Kwfpjp8YEOfu-bneM/edit?usp=sharing"",""งานกองทุน!K44"")"),1263295.9)</f>
        <v>1263295.8999999999</v>
      </c>
      <c r="K823" s="864">
        <f t="shared" ca="1" si="335"/>
        <v>5.8170063774728229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IFERROR(__xludf.DUMMYFUNCTION("IMPORTRANGE(""https://docs.google.com/spreadsheets/d/19vJNZY_5yjcGF2XGBMNZRCAIB0Kwfpjp8YEOfu-bneM/edit?usp=sharing"",""งานกองทุน!H44"")"),1227)</f>
        <v>1227</v>
      </c>
      <c r="J824" s="863">
        <f ca="1">IFERROR(__xludf.DUMMYFUNCTION("IMPORTRANGE(""https://docs.google.com/spreadsheets/d/19vJNZY_5yjcGF2XGBMNZRCAIB0Kwfpjp8YEOfu-bneM/edit?usp=sharing"",""งานกองทุน!J44"")"),299)</f>
        <v>299</v>
      </c>
      <c r="K824" s="864">
        <f t="shared" ca="1" si="335"/>
        <v>24.368378158109209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863">
        <f ca="1">IFERROR(__xludf.DUMMYFUNCTION("IMPORTRANGE(""https://docs.google.com/spreadsheets/d/19vJNZY_5yjcGF2XGBMNZRCAIB0Kwfpjp8YEOfu-bneM/edit?usp=sharing"",""งานกองทุน!P44"")"),217446.42)</f>
        <v>217446.42</v>
      </c>
      <c r="K825" s="864">
        <f t="shared" ca="1" si="335"/>
        <v>10.39991858229075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IFERROR(__xludf.DUMMYFUNCTION("IMPORTRANGE(""https://docs.google.com/spreadsheets/d/19vJNZY_5yjcGF2XGBMNZRCAIB0Kwfpjp8YEOfu-bneM/edit?usp=sharing"",""งานกองทุน!M44"")"),113)</f>
        <v>113</v>
      </c>
      <c r="J826" s="863">
        <f ca="1">IFERROR(__xludf.DUMMYFUNCTION("IMPORTRANGE(""https://docs.google.com/spreadsheets/d/19vJNZY_5yjcGF2XGBMNZRCAIB0Kwfpjp8YEOfu-bneM/edit?usp=sharing"",""งานกองทุน!O44"")"),46)</f>
        <v>46</v>
      </c>
      <c r="K826" s="864">
        <f t="shared" ca="1" si="335"/>
        <v>40.707964601769909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IFERROR(__xludf.DUMMYFUNCTION("IMPORTRANGE(""https://docs.google.com/spreadsheets/d/19vJNZY_5yjcGF2XGBMNZRCAIB0Kwfpjp8YEOfu-bneM/edit?usp=sharing"",""งานกองทุน!S44"")"),9780000)</f>
        <v>9780000</v>
      </c>
      <c r="J827" s="863">
        <f ca="1">IFERROR(__xludf.DUMMYFUNCTION("IMPORTRANGE(""https://docs.google.com/spreadsheets/d/19vJNZY_5yjcGF2XGBMNZRCAIB0Kwfpjp8YEOfu-bneM/edit?usp=sharing"",""งานกองทุน!U44"")"),8710000)</f>
        <v>8710000</v>
      </c>
      <c r="K827" s="864">
        <f t="shared" ca="1" si="335"/>
        <v>89.059304703476485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IFERROR(__xludf.DUMMYFUNCTION("IMPORTRANGE(""https://docs.google.com/spreadsheets/d/19vJNZY_5yjcGF2XGBMNZRCAIB0Kwfpjp8YEOfu-bneM/edit?usp=sharing"",""งานกองทุน!R44"")"),391)</f>
        <v>391</v>
      </c>
      <c r="J828" s="1117">
        <f ca="1">IFERROR(__xludf.DUMMYFUNCTION("IMPORTRANGE(""https://docs.google.com/spreadsheets/d/19vJNZY_5yjcGF2XGBMNZRCAIB0Kwfpjp8YEOfu-bneM/edit?usp=sharing"",""งานกองทุน!T44"")"),210)</f>
        <v>210</v>
      </c>
      <c r="K828" s="1215">
        <f t="shared" ca="1" si="335"/>
        <v>53.708439897698213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2A3D-3A90-43A1-8C96-C4EE299CF7B8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350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8648762</v>
      </c>
      <c r="M8" s="850">
        <f t="shared" ca="1" si="0"/>
        <v>4833073</v>
      </c>
      <c r="N8" s="850">
        <f t="shared" ca="1" si="0"/>
        <v>3358489.82</v>
      </c>
      <c r="O8" s="850">
        <f t="shared" ref="O8:O16" ca="1" si="1">IF(L8&gt;0,N8*100/L8,0)</f>
        <v>38.832029601462033</v>
      </c>
      <c r="P8" s="850">
        <f t="shared" ref="P8:P16" ca="1" si="2">IF(M8&gt;0,N8*100/M8,0)</f>
        <v>69.489739136983857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8648762</v>
      </c>
      <c r="M10" s="857">
        <f t="shared" ca="1" si="3"/>
        <v>4833073</v>
      </c>
      <c r="N10" s="857">
        <f t="shared" ca="1" si="3"/>
        <v>3358489.82</v>
      </c>
      <c r="O10" s="857">
        <f t="shared" ca="1" si="1"/>
        <v>38.832029601462033</v>
      </c>
      <c r="P10" s="857">
        <f t="shared" ca="1" si="2"/>
        <v>69.489739136983857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8218162</v>
      </c>
      <c r="M11" s="864">
        <f t="shared" ca="1" si="4"/>
        <v>4402473</v>
      </c>
      <c r="N11" s="864">
        <f t="shared" ca="1" si="4"/>
        <v>2927889.82</v>
      </c>
      <c r="O11" s="864">
        <f t="shared" ca="1" si="1"/>
        <v>35.627063813052118</v>
      </c>
      <c r="P11" s="864">
        <f t="shared" ca="1" si="2"/>
        <v>66.505571300494069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8218162</v>
      </c>
      <c r="M13" s="870">
        <f t="shared" ca="1" si="5"/>
        <v>4402473</v>
      </c>
      <c r="N13" s="870">
        <f t="shared" ca="1" si="5"/>
        <v>2927889.82</v>
      </c>
      <c r="O13" s="870">
        <f t="shared" ca="1" si="1"/>
        <v>35.627063813052118</v>
      </c>
      <c r="P13" s="870">
        <f t="shared" ca="1" si="2"/>
        <v>66.505571300494069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430600</v>
      </c>
      <c r="M14" s="864">
        <f t="shared" ca="1" si="6"/>
        <v>430600</v>
      </c>
      <c r="N14" s="864">
        <f t="shared" ca="1" si="6"/>
        <v>430600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430600</v>
      </c>
      <c r="M16" s="876">
        <f t="shared" ca="1" si="7"/>
        <v>430600</v>
      </c>
      <c r="N16" s="876">
        <f t="shared" ca="1" si="7"/>
        <v>430600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5826107</v>
      </c>
      <c r="M18" s="850">
        <f t="shared" ca="1" si="8"/>
        <v>4833073</v>
      </c>
      <c r="N18" s="850">
        <f t="shared" ca="1" si="8"/>
        <v>2602024.71</v>
      </c>
      <c r="O18" s="850">
        <f t="shared" ref="O18:O26" ca="1" si="9">IF(L18&gt;0,N18*100/L18,0)</f>
        <v>44.661464507946732</v>
      </c>
      <c r="P18" s="850">
        <f t="shared" ref="P18:P26" ca="1" si="10">IF(M18&gt;0,N18*100/M18,0)</f>
        <v>53.837893820349912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5826107</v>
      </c>
      <c r="M20" s="857">
        <f t="shared" ca="1" si="11"/>
        <v>4833073</v>
      </c>
      <c r="N20" s="857">
        <f t="shared" ca="1" si="11"/>
        <v>2602024.71</v>
      </c>
      <c r="O20" s="857">
        <f t="shared" ca="1" si="9"/>
        <v>44.661464507946732</v>
      </c>
      <c r="P20" s="857">
        <f t="shared" ca="1" si="10"/>
        <v>53.837893820349912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5395507</v>
      </c>
      <c r="M21" s="864">
        <f t="shared" ca="1" si="12"/>
        <v>4402473</v>
      </c>
      <c r="N21" s="864">
        <f t="shared" ca="1" si="12"/>
        <v>2171424.71</v>
      </c>
      <c r="O21" s="864">
        <f t="shared" ca="1" si="9"/>
        <v>40.245054079255205</v>
      </c>
      <c r="P21" s="864">
        <f t="shared" ca="1" si="10"/>
        <v>49.322839912930753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5395507</v>
      </c>
      <c r="M23" s="870">
        <f t="shared" ca="1" si="13"/>
        <v>4402473</v>
      </c>
      <c r="N23" s="870">
        <f t="shared" ca="1" si="13"/>
        <v>2171424.71</v>
      </c>
      <c r="O23" s="870">
        <f t="shared" ca="1" si="9"/>
        <v>40.245054079255205</v>
      </c>
      <c r="P23" s="870">
        <f t="shared" ca="1" si="10"/>
        <v>49.322839912930753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430600</v>
      </c>
      <c r="M24" s="864">
        <f t="shared" ca="1" si="14"/>
        <v>430600</v>
      </c>
      <c r="N24" s="864">
        <f t="shared" ca="1" si="14"/>
        <v>430600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430600</v>
      </c>
      <c r="M26" s="876">
        <f t="shared" ca="1" si="15"/>
        <v>430600</v>
      </c>
      <c r="N26" s="876">
        <f t="shared" ca="1" si="15"/>
        <v>430600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2822655</v>
      </c>
      <c r="M28" s="850">
        <f t="shared" si="16"/>
        <v>0</v>
      </c>
      <c r="N28" s="850">
        <f t="shared" si="16"/>
        <v>756465.11</v>
      </c>
      <c r="O28" s="850">
        <f t="shared" ref="O28:O37" ca="1" si="17">IF(L28&gt;0,N28*100/L28,0)</f>
        <v>26.799772200286611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2822655</v>
      </c>
      <c r="M30" s="857">
        <f t="shared" si="19"/>
        <v>0</v>
      </c>
      <c r="N30" s="857">
        <f t="shared" si="19"/>
        <v>756465.11</v>
      </c>
      <c r="O30" s="857">
        <f t="shared" ca="1" si="17"/>
        <v>26.799772200286611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2822655</v>
      </c>
      <c r="M31" s="864">
        <f t="shared" si="20"/>
        <v>0</v>
      </c>
      <c r="N31" s="864">
        <f t="shared" si="20"/>
        <v>756465.11</v>
      </c>
      <c r="O31" s="864">
        <f t="shared" ca="1" si="17"/>
        <v>26.799772200286611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2822655</v>
      </c>
      <c r="M33" s="870">
        <f t="shared" si="21"/>
        <v>0</v>
      </c>
      <c r="N33" s="870">
        <f t="shared" si="21"/>
        <v>756465.11</v>
      </c>
      <c r="O33" s="870">
        <f t="shared" ca="1" si="17"/>
        <v>26.799772200286611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5826107</v>
      </c>
      <c r="M37" s="883">
        <f t="shared" ca="1" si="24"/>
        <v>4833073</v>
      </c>
      <c r="N37" s="883">
        <f t="shared" ca="1" si="24"/>
        <v>2602024.71</v>
      </c>
      <c r="O37" s="883">
        <f t="shared" ca="1" si="17"/>
        <v>44.661464507946732</v>
      </c>
      <c r="P37" s="883">
        <f t="shared" ca="1" si="18"/>
        <v>53.837893820349912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806992</v>
      </c>
      <c r="M41" s="908">
        <f t="shared" ca="1" si="25"/>
        <v>809498</v>
      </c>
      <c r="N41" s="908">
        <f t="shared" ca="1" si="25"/>
        <v>326238.13</v>
      </c>
      <c r="O41" s="908">
        <f t="shared" ref="O41:O49" ca="1" si="26">IF(L41&gt;0,N41*100/L41,0)</f>
        <v>40.426439171639871</v>
      </c>
      <c r="P41" s="908">
        <f t="shared" ref="P41:P49" ca="1" si="27">IF(M41&gt;0,N41*100/M41,0)</f>
        <v>40.301289194043719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806992</v>
      </c>
      <c r="M43" s="914">
        <f t="shared" ca="1" si="28"/>
        <v>809498</v>
      </c>
      <c r="N43" s="914">
        <f t="shared" ca="1" si="28"/>
        <v>326238.13</v>
      </c>
      <c r="O43" s="914">
        <f t="shared" ca="1" si="26"/>
        <v>40.426439171639871</v>
      </c>
      <c r="P43" s="914">
        <f t="shared" ca="1" si="27"/>
        <v>40.301289194043719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806992</v>
      </c>
      <c r="M44" s="864">
        <f t="shared" ca="1" si="29"/>
        <v>809498</v>
      </c>
      <c r="N44" s="864">
        <f t="shared" ca="1" si="29"/>
        <v>326238.13</v>
      </c>
      <c r="O44" s="864">
        <f t="shared" ca="1" si="26"/>
        <v>40.426439171639871</v>
      </c>
      <c r="P44" s="864">
        <f t="shared" ca="1" si="27"/>
        <v>40.301289194043719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IFERROR(__xludf.DUMMYFUNCTION("IMPORTRANGE(""https://docs.google.com/spreadsheets/d/1MeEWN-I1oV_STSDYn1IFDPWt_1FKiwhDph83XaGc0o0/edit?usp=sharing"",""งบพรบ!M45"")"),806992)</f>
        <v>806992</v>
      </c>
      <c r="M46" s="870">
        <f ca="1">IFERROR(__xludf.DUMMYFUNCTION("IMPORTRANGE(""https://docs.google.com/spreadsheets/d/1MeEWN-I1oV_STSDYn1IFDPWt_1FKiwhDph83XaGc0o0/edit?usp=sharing"",""งบพรบ!R45"")"),809498)</f>
        <v>809498</v>
      </c>
      <c r="N46" s="870">
        <f ca="1">IFERROR(__xludf.DUMMYFUNCTION("IMPORTRANGE(""https://docs.google.com/spreadsheets/d/1MeEWN-I1oV_STSDYn1IFDPWt_1FKiwhDph83XaGc0o0/edit?usp=sharing"",""งบพรบ!T45"")"),326238.13)</f>
        <v>326238.13</v>
      </c>
      <c r="O46" s="870">
        <f t="shared" ca="1" si="26"/>
        <v>40.426439171639871</v>
      </c>
      <c r="P46" s="870">
        <f t="shared" ca="1" si="27"/>
        <v>40.301289194043719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IFERROR(__xludf.DUMMYFUNCTION("IMPORTRANGE(""https://docs.google.com/spreadsheets/d/1MeEWN-I1oV_STSDYn1IFDPWt_1FKiwhDph83XaGc0o0/edit?usp=sharing"",""งบพรบ!P45"")"),0)</f>
        <v>0</v>
      </c>
      <c r="M49" s="876">
        <f ca="1">IFERROR(__xludf.DUMMYFUNCTION("IMPORTRANGE(""https://docs.google.com/spreadsheets/d/1MeEWN-I1oV_STSDYn1IFDPWt_1FKiwhDph83XaGc0o0/edit?usp=sharing"",""งบพรบ!S45"")"),0)</f>
        <v>0</v>
      </c>
      <c r="N49" s="876">
        <f ca="1">IFERROR(__xludf.DUMMYFUNCTION("IMPORTRANGE(""https://docs.google.com/spreadsheets/d/1MeEWN-I1oV_STSDYn1IFDPWt_1FKiwhDph83XaGc0o0/edit?usp=sharing"",""งบพรบ!U45"")"),0)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790400</v>
      </c>
      <c r="M53" s="936">
        <f t="shared" ca="1" si="31"/>
        <v>592800</v>
      </c>
      <c r="N53" s="936">
        <f t="shared" ca="1" si="31"/>
        <v>389838.81</v>
      </c>
      <c r="O53" s="936">
        <f t="shared" ref="O53:O61" ca="1" si="32">IF(L53&gt;0,N53*100/L53,0)</f>
        <v>49.321711791497975</v>
      </c>
      <c r="P53" s="936">
        <f t="shared" ref="P53:P61" ca="1" si="33">IF(M53&gt;0,N53*100/M53,0)</f>
        <v>65.762282388663962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790400</v>
      </c>
      <c r="M55" s="942">
        <f t="shared" ca="1" si="34"/>
        <v>592800</v>
      </c>
      <c r="N55" s="942">
        <f t="shared" ca="1" si="34"/>
        <v>389838.81</v>
      </c>
      <c r="O55" s="942">
        <f t="shared" ca="1" si="32"/>
        <v>49.321711791497975</v>
      </c>
      <c r="P55" s="942">
        <f t="shared" ca="1" si="33"/>
        <v>65.762282388663962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790400</v>
      </c>
      <c r="M56" s="864">
        <f t="shared" ca="1" si="35"/>
        <v>592800</v>
      </c>
      <c r="N56" s="864">
        <f t="shared" ca="1" si="35"/>
        <v>389838.81</v>
      </c>
      <c r="O56" s="864">
        <f t="shared" ca="1" si="32"/>
        <v>49.321711791497975</v>
      </c>
      <c r="P56" s="864">
        <f t="shared" ca="1" si="33"/>
        <v>65.762282388663962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IFERROR(__xludf.DUMMYFUNCTION("IMPORTRANGE(""https://docs.google.com/spreadsheets/d/1MeEWN-I1oV_STSDYn1IFDPWt_1FKiwhDph83XaGc0o0/edit?usp=sharing"",""งบพรบ!W45"")"),790400)</f>
        <v>790400</v>
      </c>
      <c r="M58" s="870">
        <f ca="1">IFERROR(__xludf.DUMMYFUNCTION("IMPORTRANGE(""https://docs.google.com/spreadsheets/d/1MeEWN-I1oV_STSDYn1IFDPWt_1FKiwhDph83XaGc0o0/edit?usp=sharing"",""งบพรบ!AB45"")"),592800)</f>
        <v>592800</v>
      </c>
      <c r="N58" s="870">
        <f ca="1">IFERROR(__xludf.DUMMYFUNCTION("IMPORTRANGE(""https://docs.google.com/spreadsheets/d/1MeEWN-I1oV_STSDYn1IFDPWt_1FKiwhDph83XaGc0o0/edit?usp=sharing"",""งบพรบ!AD45"")"),389838.81)</f>
        <v>389838.81</v>
      </c>
      <c r="O58" s="870">
        <f t="shared" ca="1" si="32"/>
        <v>49.321711791497975</v>
      </c>
      <c r="P58" s="870">
        <f t="shared" ca="1" si="33"/>
        <v>65.762282388663962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IFERROR(__xludf.DUMMYFUNCTION("IMPORTRANGE(""https://docs.google.com/spreadsheets/d/1MeEWN-I1oV_STSDYn1IFDPWt_1FKiwhDph83XaGc0o0/edit?usp=sharing"",""งบพรบ!Z45"")"),0)</f>
        <v>0</v>
      </c>
      <c r="M61" s="876">
        <f ca="1">IFERROR(__xludf.DUMMYFUNCTION("IMPORTRANGE(""https://docs.google.com/spreadsheets/d/1MeEWN-I1oV_STSDYn1IFDPWt_1FKiwhDph83XaGc0o0/edit?usp=sharing"",""งบพรบ!AC45"")"),0)</f>
        <v>0</v>
      </c>
      <c r="N61" s="876">
        <f ca="1">IFERROR(__xludf.DUMMYFUNCTION("IMPORTRANGE(""https://docs.google.com/spreadsheets/d/1MeEWN-I1oV_STSDYn1IFDPWt_1FKiwhDph83XaGc0o0/edit?usp=sharing"",""งบพรบ!AE45"")"),0)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30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1012000</v>
      </c>
      <c r="M66" s="972">
        <f t="shared" ca="1" si="39"/>
        <v>769570</v>
      </c>
      <c r="N66" s="972">
        <f t="shared" ca="1" si="39"/>
        <v>371157.26</v>
      </c>
      <c r="O66" s="972">
        <f t="shared" ref="O66:O74" ca="1" si="40">IF(L66&gt;0,N66*100/L66,0)</f>
        <v>36.675618577075099</v>
      </c>
      <c r="P66" s="972">
        <f t="shared" ref="P66:P74" ca="1" si="41">IF(M66&gt;0,N66*100/M66,0)</f>
        <v>48.22917473394233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1012000</v>
      </c>
      <c r="M68" s="870">
        <f t="shared" ca="1" si="42"/>
        <v>769570</v>
      </c>
      <c r="N68" s="870">
        <f t="shared" ca="1" si="42"/>
        <v>371157.26</v>
      </c>
      <c r="O68" s="870">
        <f t="shared" ca="1" si="40"/>
        <v>36.675618577075099</v>
      </c>
      <c r="P68" s="870">
        <f t="shared" ca="1" si="41"/>
        <v>48.22917473394233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1012000</v>
      </c>
      <c r="M69" s="864">
        <f t="shared" ca="1" si="43"/>
        <v>769570</v>
      </c>
      <c r="N69" s="864">
        <f t="shared" ca="1" si="43"/>
        <v>371157.26</v>
      </c>
      <c r="O69" s="864">
        <f t="shared" ca="1" si="40"/>
        <v>36.675618577075099</v>
      </c>
      <c r="P69" s="864">
        <f t="shared" ca="1" si="41"/>
        <v>48.22917473394233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IFERROR(__xludf.DUMMYFUNCTION("IMPORTRANGE(""https://docs.google.com/spreadsheets/d/1MeEWN-I1oV_STSDYn1IFDPWt_1FKiwhDph83XaGc0o0/edit?usp=sharing"",""งบพรบ!AG45"")"),1012000)</f>
        <v>1012000</v>
      </c>
      <c r="M71" s="870">
        <f ca="1">IFERROR(__xludf.DUMMYFUNCTION("IMPORTRANGE(""https://docs.google.com/spreadsheets/d/1MeEWN-I1oV_STSDYn1IFDPWt_1FKiwhDph83XaGc0o0/edit?usp=sharing"",""งบพรบ!AL45"")"),769570)</f>
        <v>769570</v>
      </c>
      <c r="N71" s="870">
        <f ca="1">IFERROR(__xludf.DUMMYFUNCTION("IMPORTRANGE(""https://docs.google.com/spreadsheets/d/1MeEWN-I1oV_STSDYn1IFDPWt_1FKiwhDph83XaGc0o0/edit?usp=sharing"",""งบพรบ!AN45"")"),371157.26)</f>
        <v>371157.26</v>
      </c>
      <c r="O71" s="870">
        <f t="shared" ca="1" si="40"/>
        <v>36.675618577075099</v>
      </c>
      <c r="P71" s="870">
        <f t="shared" ca="1" si="41"/>
        <v>48.22917473394233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IFERROR(__xludf.DUMMYFUNCTION("IMPORTRANGE(""https://docs.google.com/spreadsheets/d/1MeEWN-I1oV_STSDYn1IFDPWt_1FKiwhDph83XaGc0o0/edit?usp=sharing"",""งบพรบ!AJ45"")"),0)</f>
        <v>0</v>
      </c>
      <c r="M74" s="870">
        <f ca="1">IFERROR(__xludf.DUMMYFUNCTION("IMPORTRANGE(""https://docs.google.com/spreadsheets/d/1MeEWN-I1oV_STSDYn1IFDPWt_1FKiwhDph83XaGc0o0/edit?usp=sharing"",""งบพรบ!AM45"")"),0)</f>
        <v>0</v>
      </c>
      <c r="N74" s="870">
        <f ca="1">IFERROR(__xludf.DUMMYFUNCTION("IMPORTRANGE(""https://docs.google.com/spreadsheets/d/1MeEWN-I1oV_STSDYn1IFDPWt_1FKiwhDph83XaGc0o0/edit?usp=sharing"",""งบพรบ!AO45"")"),0)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30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IFERROR(__xludf.DUMMYFUNCTION("IMPORTRANGE(""https://docs.google.com/spreadsheets/d/1QqKyyYR6Q21VydFLVH3TRQUabQu_ym0Zz7PgGX0-kHA/edit?usp=sharing"",""แผน!H45"")"),0)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IFERROR(__xludf.DUMMYFUNCTION("IMPORTRANGE(""https://docs.google.com/spreadsheets/d/1QqKyyYR6Q21VydFLVH3TRQUabQu_ym0Zz7PgGX0-kHA/edit?usp=sharing"",""แผน!I45"")"),0)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IFERROR(__xludf.DUMMYFUNCTION("IMPORTRANGE(""https://docs.google.com/spreadsheets/d/1QqKyyYR6Q21VydFLVH3TRQUabQu_ym0Zz7PgGX0-kHA/edit?usp=sharing"",""แผน!F45"")"),0)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IFERROR(__xludf.DUMMYFUNCTION("IMPORTRANGE(""https://docs.google.com/spreadsheets/d/1QqKyyYR6Q21VydFLVH3TRQUabQu_ym0Zz7PgGX0-kHA/edit?usp=sharing"",""แผน!G45"")"),0)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IFERROR(__xludf.DUMMYFUNCTION("IMPORTRANGE(""https://docs.google.com/spreadsheets/d/1QqKyyYR6Q21VydFLVH3TRQUabQu_ym0Zz7PgGX0-kHA/edit?usp=sharing"",""แผน!D45"")"),1)</f>
        <v>1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IFERROR(__xludf.DUMMYFUNCTION("IMPORTRANGE(""https://docs.google.com/spreadsheets/d/1QqKyyYR6Q21VydFLVH3TRQUabQu_ym0Zz7PgGX0-kHA/edit?usp=sharing"",""แผน!E45"")"),30)</f>
        <v>30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IFERROR(__xludf.DUMMYFUNCTION("IMPORTRANGE(""https://docs.google.com/spreadsheets/d/1QqKyyYR6Q21VydFLVH3TRQUabQu_ym0Zz7PgGX0-kHA/edit?usp=sharing"",""แผน!J45"")"),1)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60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111180</v>
      </c>
      <c r="M88" s="972">
        <f t="shared" ca="1" si="49"/>
        <v>101480</v>
      </c>
      <c r="N88" s="972">
        <f t="shared" ca="1" si="49"/>
        <v>43350</v>
      </c>
      <c r="O88" s="972">
        <f t="shared" ref="O88:O96" ca="1" si="50">IF(L88&gt;0,N88*100/L88,0)</f>
        <v>38.990825688073393</v>
      </c>
      <c r="P88" s="972">
        <f t="shared" ref="P88:P96" ca="1" si="51">IF(M88&gt;0,N88*100/M88,0)</f>
        <v>42.717776901852581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111180</v>
      </c>
      <c r="M90" s="870">
        <f t="shared" ca="1" si="52"/>
        <v>101480</v>
      </c>
      <c r="N90" s="870">
        <f t="shared" ca="1" si="52"/>
        <v>43350</v>
      </c>
      <c r="O90" s="870">
        <f t="shared" ca="1" si="50"/>
        <v>38.990825688073393</v>
      </c>
      <c r="P90" s="870">
        <f t="shared" ca="1" si="51"/>
        <v>42.717776901852581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111180</v>
      </c>
      <c r="M91" s="864">
        <f t="shared" ca="1" si="53"/>
        <v>101480</v>
      </c>
      <c r="N91" s="864">
        <f t="shared" ca="1" si="53"/>
        <v>43350</v>
      </c>
      <c r="O91" s="864">
        <f t="shared" ca="1" si="50"/>
        <v>38.990825688073393</v>
      </c>
      <c r="P91" s="864">
        <f t="shared" ca="1" si="51"/>
        <v>42.717776901852581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IFERROR(__xludf.DUMMYFUNCTION("IMPORTRANGE(""https://docs.google.com/spreadsheets/d/1MeEWN-I1oV_STSDYn1IFDPWt_1FKiwhDph83XaGc0o0/edit?usp=sharing"",""งบพรบ!AQ45"")"),111180)</f>
        <v>111180</v>
      </c>
      <c r="M93" s="870">
        <f ca="1">IFERROR(__xludf.DUMMYFUNCTION("IMPORTRANGE(""https://docs.google.com/spreadsheets/d/1MeEWN-I1oV_STSDYn1IFDPWt_1FKiwhDph83XaGc0o0/edit?usp=sharing"",""งบพรบ!AV45"")"),101480)</f>
        <v>101480</v>
      </c>
      <c r="N93" s="870">
        <f ca="1">IFERROR(__xludf.DUMMYFUNCTION("IMPORTRANGE(""https://docs.google.com/spreadsheets/d/1MeEWN-I1oV_STSDYn1IFDPWt_1FKiwhDph83XaGc0o0/edit?usp=sharing"",""งบพรบ!AX45"")"),43350)</f>
        <v>43350</v>
      </c>
      <c r="O93" s="870">
        <f t="shared" ca="1" si="50"/>
        <v>38.990825688073393</v>
      </c>
      <c r="P93" s="870">
        <f t="shared" ca="1" si="51"/>
        <v>42.717776901852581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IFERROR(__xludf.DUMMYFUNCTION("IMPORTRANGE(""https://docs.google.com/spreadsheets/d/1MeEWN-I1oV_STSDYn1IFDPWt_1FKiwhDph83XaGc0o0/edit?usp=sharing"",""งบพรบ!AT45"")"),0)</f>
        <v>0</v>
      </c>
      <c r="M96" s="870">
        <f ca="1">IFERROR(__xludf.DUMMYFUNCTION("IMPORTRANGE(""https://docs.google.com/spreadsheets/d/1MeEWN-I1oV_STSDYn1IFDPWt_1FKiwhDph83XaGc0o0/edit?usp=sharing"",""งบพรบ!AW45"")"),0)</f>
        <v>0</v>
      </c>
      <c r="N96" s="870">
        <f ca="1">IFERROR(__xludf.DUMMYFUNCTION("IMPORTRANGE(""https://docs.google.com/spreadsheets/d/1MeEWN-I1oV_STSDYn1IFDPWt_1FKiwhDph83XaGc0o0/edit?usp=sharing"",""งบพรบ!AY45"")"),0)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IFERROR(__xludf.DUMMYFUNCTION("IMPORTRANGE(""https://docs.google.com/spreadsheets/d/1QqKyyYR6Q21VydFLVH3TRQUabQu_ym0Zz7PgGX0-kHA/edit?usp=sharing"",""แผน!K45"")"),60)</f>
        <v>60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IFERROR(__xludf.DUMMYFUNCTION("IMPORTRANGE(""https://docs.google.com/spreadsheets/d/1QqKyyYR6Q21VydFLVH3TRQUabQu_ym0Zz7PgGX0-kHA/edit?usp=sharing"",""แผน!L45"")"),20)</f>
        <v>20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IFERROR(__xludf.DUMMYFUNCTION("IMPORTRANGE(""https://docs.google.com/spreadsheets/d/1QqKyyYR6Q21VydFLVH3TRQUabQu_ym0Zz7PgGX0-kHA/edit?usp=sharing"",""แผน!M45"")"),2)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IFERROR(__xludf.DUMMYFUNCTION("IMPORTRANGE(""https://docs.google.com/spreadsheets/d/1QqKyyYR6Q21VydFLVH3TRQUabQu_ym0Zz7PgGX0-kHA/edit?usp=sharing"",""แผน!N45"")"),60)</f>
        <v>60</v>
      </c>
      <c r="J102" s="992">
        <v>0</v>
      </c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IFERROR(__xludf.DUMMYFUNCTION("IMPORTRANGE(""https://docs.google.com/spreadsheets/d/1QqKyyYR6Q21VydFLVH3TRQUabQu_ym0Zz7PgGX0-kHA/edit?usp=sharing"",""แผน!O45"")"),20)</f>
        <v>20</v>
      </c>
      <c r="J103" s="992">
        <v>0</v>
      </c>
      <c r="K103" s="864">
        <f t="shared" ca="1" si="56"/>
        <v>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IFERROR(__xludf.DUMMYFUNCTION("IMPORTRANGE(""https://docs.google.com/spreadsheets/d/1QqKyyYR6Q21VydFLVH3TRQUabQu_ym0Zz7PgGX0-kHA/edit?usp=sharing"",""แผน!O45"")"),20)</f>
        <v>20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IFERROR(__xludf.DUMMYFUNCTION("IMPORTRANGE(""https://docs.google.com/spreadsheets/d/1QqKyyYR6Q21VydFLVH3TRQUabQu_ym0Zz7PgGX0-kHA/edit?usp=sharing"",""แผน!P45"")"),1)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IFERROR(__xludf.DUMMYFUNCTION("IMPORTRANGE(""https://docs.google.com/spreadsheets/d/1QqKyyYR6Q21VydFLVH3TRQUabQu_ym0Zz7PgGX0-kHA/edit?usp=sharing"",""แผน!P45"")"),1)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IFERROR(__xludf.DUMMYFUNCTION("IMPORTRANGE(""https://docs.google.com/spreadsheets/d/1QqKyyYR6Q21VydFLVH3TRQUabQu_ym0Zz7PgGX0-kHA/edit?usp=sharing"",""แผน!Q45"")"),1)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IFERROR(__xludf.DUMMYFUNCTION("IMPORTRANGE(""https://docs.google.com/spreadsheets/d/1QqKyyYR6Q21VydFLVH3TRQUabQu_ym0Zz7PgGX0-kHA/edit?usp=sharing"",""แผน!Q45"")"),1)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IFERROR(__xludf.DUMMYFUNCTION("IMPORTRANGE(""https://docs.google.com/spreadsheets/d/1QqKyyYR6Q21VydFLVH3TRQUabQu_ym0Zz7PgGX0-kHA/edit?usp=sharing"",""แผน!R45"")"),20)</f>
        <v>20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IFERROR(__xludf.DUMMYFUNCTION("IMPORTRANGE(""https://docs.google.com/spreadsheets/d/1QqKyyYR6Q21VydFLVH3TRQUabQu_ym0Zz7PgGX0-kHA/edit?usp=sharing"",""แผน!R45"")"),20)</f>
        <v>20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IFERROR(__xludf.DUMMYFUNCTION("IMPORTRANGE(""https://docs.google.com/spreadsheets/d/1QqKyyYR6Q21VydFLVH3TRQUabQu_ym0Zz7PgGX0-kHA/edit?usp=sharing"",""แผน!R45"")"),20)</f>
        <v>20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IFERROR(__xludf.DUMMYFUNCTION("IMPORTRANGE(""https://docs.google.com/spreadsheets/d/1QqKyyYR6Q21VydFLVH3TRQUabQu_ym0Zz7PgGX0-kHA/edit?usp=sharing"",""แผน!S45"")"),1)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IFERROR(__xludf.DUMMYFUNCTION("IMPORTRANGE(""https://docs.google.com/spreadsheets/d/1QqKyyYR6Q21VydFLVH3TRQUabQu_ym0Zz7PgGX0-kHA/edit?usp=sharing"",""แผน!T45"")"),1)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IFERROR(__xludf.DUMMYFUNCTION("IMPORTRANGE(""https://docs.google.com/spreadsheets/d/1MeEWN-I1oV_STSDYn1IFDPWt_1FKiwhDph83XaGc0o0/edit?usp=sharing"",""งบพรบ!BA45"")"),0)</f>
        <v>0</v>
      </c>
      <c r="M124" s="870">
        <f ca="1">IFERROR(__xludf.DUMMYFUNCTION("IMPORTRANGE(""https://docs.google.com/spreadsheets/d/1MeEWN-I1oV_STSDYn1IFDPWt_1FKiwhDph83XaGc0o0/edit?usp=sharing"",""งบพรบ!BF45"")"),0)</f>
        <v>0</v>
      </c>
      <c r="N124" s="870">
        <f ca="1">IFERROR(__xludf.DUMMYFUNCTION("IMPORTRANGE(""https://docs.google.com/spreadsheets/d/1MeEWN-I1oV_STSDYn1IFDPWt_1FKiwhDph83XaGc0o0/edit?usp=sharing"",""งบพรบ!BH45"")"),0)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IFERROR(__xludf.DUMMYFUNCTION("IMPORTRANGE(""https://docs.google.com/spreadsheets/d/1MeEWN-I1oV_STSDYn1IFDPWt_1FKiwhDph83XaGc0o0/edit?usp=sharing"",""งบพรบ!BD45"")"),0)</f>
        <v>0</v>
      </c>
      <c r="M127" s="870">
        <f ca="1">IFERROR(__xludf.DUMMYFUNCTION("IMPORTRANGE(""https://docs.google.com/spreadsheets/d/1MeEWN-I1oV_STSDYn1IFDPWt_1FKiwhDph83XaGc0o0/edit?usp=sharing"",""งบพรบ!BG45"")"),0)</f>
        <v>0</v>
      </c>
      <c r="N127" s="870">
        <f ca="1">IFERROR(__xludf.DUMMYFUNCTION("IMPORTRANGE(""https://docs.google.com/spreadsheets/d/1MeEWN-I1oV_STSDYn1IFDPWt_1FKiwhDph83XaGc0o0/edit?usp=sharing"",""งบพรบ!BI45"")"),0)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3</v>
      </c>
      <c r="J130" s="962">
        <f t="shared" si="66"/>
        <v>3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30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454965</v>
      </c>
      <c r="M132" s="972">
        <f t="shared" ca="1" si="69"/>
        <v>440600</v>
      </c>
      <c r="N132" s="972">
        <f t="shared" ca="1" si="69"/>
        <v>358350</v>
      </c>
      <c r="O132" s="972">
        <f t="shared" ref="O132:O140" ca="1" si="70">IF(L132&gt;0,N132*100/L132,0)</f>
        <v>78.764300550591798</v>
      </c>
      <c r="P132" s="972">
        <f t="shared" ref="P132:P140" ca="1" si="71">IF(M132&gt;0,N132*100/M132,0)</f>
        <v>81.332274171584203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454965</v>
      </c>
      <c r="M134" s="870">
        <f t="shared" ca="1" si="72"/>
        <v>440600</v>
      </c>
      <c r="N134" s="870">
        <f t="shared" ca="1" si="72"/>
        <v>358350</v>
      </c>
      <c r="O134" s="870">
        <f t="shared" ca="1" si="70"/>
        <v>78.764300550591798</v>
      </c>
      <c r="P134" s="870">
        <f t="shared" ca="1" si="71"/>
        <v>81.332274171584203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145965</v>
      </c>
      <c r="M135" s="864">
        <f t="shared" ca="1" si="73"/>
        <v>131600</v>
      </c>
      <c r="N135" s="864">
        <f t="shared" ca="1" si="73"/>
        <v>49350</v>
      </c>
      <c r="O135" s="864">
        <f t="shared" ca="1" si="70"/>
        <v>33.809474874113654</v>
      </c>
      <c r="P135" s="864">
        <f t="shared" ca="1" si="71"/>
        <v>37.5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IFERROR(__xludf.DUMMYFUNCTION("IMPORTRANGE(""https://docs.google.com/spreadsheets/d/1MeEWN-I1oV_STSDYn1IFDPWt_1FKiwhDph83XaGc0o0/edit?usp=sharing"",""งบพรบ!BK45"")"),145965)</f>
        <v>145965</v>
      </c>
      <c r="M137" s="870">
        <f ca="1">IFERROR(__xludf.DUMMYFUNCTION("IMPORTRANGE(""https://docs.google.com/spreadsheets/d/1MeEWN-I1oV_STSDYn1IFDPWt_1FKiwhDph83XaGc0o0/edit?usp=sharing"",""งบพรบ!BP45"")"),131600)</f>
        <v>131600</v>
      </c>
      <c r="N137" s="870">
        <f ca="1">IFERROR(__xludf.DUMMYFUNCTION("IMPORTRANGE(""https://docs.google.com/spreadsheets/d/1MeEWN-I1oV_STSDYn1IFDPWt_1FKiwhDph83XaGc0o0/edit?usp=sharing"",""งบพรบ!BR45"")"),49350)</f>
        <v>49350</v>
      </c>
      <c r="O137" s="870">
        <f t="shared" ca="1" si="70"/>
        <v>33.809474874113654</v>
      </c>
      <c r="P137" s="870">
        <f t="shared" ca="1" si="71"/>
        <v>37.5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309000</v>
      </c>
      <c r="M138" s="864">
        <f t="shared" ca="1" si="74"/>
        <v>309000</v>
      </c>
      <c r="N138" s="864">
        <f t="shared" ca="1" si="74"/>
        <v>309000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IFERROR(__xludf.DUMMYFUNCTION("IMPORTRANGE(""https://docs.google.com/spreadsheets/d/1MeEWN-I1oV_STSDYn1IFDPWt_1FKiwhDph83XaGc0o0/edit?usp=sharing"",""งบพรบ!BN45"")"),309000)</f>
        <v>309000</v>
      </c>
      <c r="M140" s="870">
        <f ca="1">IFERROR(__xludf.DUMMYFUNCTION("IMPORTRANGE(""https://docs.google.com/spreadsheets/d/1MeEWN-I1oV_STSDYn1IFDPWt_1FKiwhDph83XaGc0o0/edit?usp=sharing"",""งบพรบ!BQ45"")"),309000)</f>
        <v>309000</v>
      </c>
      <c r="N140" s="870">
        <f ca="1">IFERROR(__xludf.DUMMYFUNCTION("IMPORTRANGE(""https://docs.google.com/spreadsheets/d/1MeEWN-I1oV_STSDYn1IFDPWt_1FKiwhDph83XaGc0o0/edit?usp=sharing"",""งบพรบ!BS45"")"),309000)</f>
        <v>309000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30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IFERROR(__xludf.DUMMYFUNCTION("IMPORTRANGE(""https://docs.google.com/spreadsheets/d/1QqKyyYR6Q21VydFLVH3TRQUabQu_ym0Zz7PgGX0-kHA/edit?usp=sharing"",""แผน!U45"")"),15)</f>
        <v>15</v>
      </c>
      <c r="J144" s="992">
        <v>15</v>
      </c>
      <c r="K144" s="864">
        <f t="shared" ca="1" si="75"/>
        <v>100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IFERROR(__xludf.DUMMYFUNCTION("IMPORTRANGE(""https://docs.google.com/spreadsheets/d/1QqKyyYR6Q21VydFLVH3TRQUabQu_ym0Zz7PgGX0-kHA/edit?usp=sharing"",""แผน!V45"")"),30)</f>
        <v>30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IFERROR(__xludf.DUMMYFUNCTION("IMPORTRANGE(""https://docs.google.com/spreadsheets/d/1QqKyyYR6Q21VydFLVH3TRQUabQu_ym0Zz7PgGX0-kHA/edit?usp=sharing"",""แผน!W45"")"),3)</f>
        <v>3</v>
      </c>
      <c r="J146" s="992">
        <v>3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31400</v>
      </c>
      <c r="N149" s="972">
        <f t="shared" ca="1" si="77"/>
        <v>17500</v>
      </c>
      <c r="O149" s="972">
        <f t="shared" ref="O149:O157" ca="1" si="78">IF(L149&gt;0,N149*100/L149,0)</f>
        <v>175</v>
      </c>
      <c r="P149" s="972">
        <f t="shared" ref="P149:P157" ca="1" si="79">IF(M149&gt;0,N149*100/M149,0)</f>
        <v>55.732484076433124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31400</v>
      </c>
      <c r="N151" s="870">
        <f t="shared" ca="1" si="80"/>
        <v>17500</v>
      </c>
      <c r="O151" s="870">
        <f t="shared" ca="1" si="78"/>
        <v>175</v>
      </c>
      <c r="P151" s="870">
        <f t="shared" ca="1" si="79"/>
        <v>55.732484076433124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31400</v>
      </c>
      <c r="N152" s="864">
        <f t="shared" ca="1" si="81"/>
        <v>17500</v>
      </c>
      <c r="O152" s="864">
        <f t="shared" ca="1" si="78"/>
        <v>175</v>
      </c>
      <c r="P152" s="864">
        <f t="shared" ca="1" si="79"/>
        <v>55.732484076433124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IFERROR(__xludf.DUMMYFUNCTION("IMPORTRANGE(""https://docs.google.com/spreadsheets/d/1MeEWN-I1oV_STSDYn1IFDPWt_1FKiwhDph83XaGc0o0/edit?usp=sharing"",""งบพรบ!BU45"")"),10000)</f>
        <v>10000</v>
      </c>
      <c r="M154" s="870">
        <f ca="1">IFERROR(__xludf.DUMMYFUNCTION("IMPORTRANGE(""https://docs.google.com/spreadsheets/d/1MeEWN-I1oV_STSDYn1IFDPWt_1FKiwhDph83XaGc0o0/edit?usp=sharing"",""งบพรบ!BZ45"")"),31400)</f>
        <v>31400</v>
      </c>
      <c r="N154" s="870">
        <f ca="1">IFERROR(__xludf.DUMMYFUNCTION("IMPORTRANGE(""https://docs.google.com/spreadsheets/d/1MeEWN-I1oV_STSDYn1IFDPWt_1FKiwhDph83XaGc0o0/edit?usp=sharing"",""งบพรบ!CB45"")"),17500)</f>
        <v>17500</v>
      </c>
      <c r="O154" s="870">
        <f t="shared" ca="1" si="78"/>
        <v>175</v>
      </c>
      <c r="P154" s="870">
        <f t="shared" ca="1" si="79"/>
        <v>55.732484076433124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IFERROR(__xludf.DUMMYFUNCTION("IMPORTRANGE(""https://docs.google.com/spreadsheets/d/1MeEWN-I1oV_STSDYn1IFDPWt_1FKiwhDph83XaGc0o0/edit?usp=sharing"",""งบพรบ!BX45"")"),0)</f>
        <v>0</v>
      </c>
      <c r="M157" s="870">
        <f ca="1">IFERROR(__xludf.DUMMYFUNCTION("IMPORTRANGE(""https://docs.google.com/spreadsheets/d/1MeEWN-I1oV_STSDYn1IFDPWt_1FKiwhDph83XaGc0o0/edit?usp=sharing"",""งบพรบ!CA45"")"),0)</f>
        <v>0</v>
      </c>
      <c r="N157" s="870">
        <f ca="1">IFERROR(__xludf.DUMMYFUNCTION("IMPORTRANGE(""https://docs.google.com/spreadsheets/d/1MeEWN-I1oV_STSDYn1IFDPWt_1FKiwhDph83XaGc0o0/edit?usp=sharing"",""งบพรบ!CC45"")"),0)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IFERROR(__xludf.DUMMYFUNCTION("IMPORTRANGE(""https://docs.google.com/spreadsheets/d/1QqKyyYR6Q21VydFLVH3TRQUabQu_ym0Zz7PgGX0-kHA/edit?usp=sharing"",""แผน!X45"")"),20)</f>
        <v>20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23060</v>
      </c>
      <c r="N165" s="972">
        <f t="shared" ca="1" si="84"/>
        <v>23060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23060</v>
      </c>
      <c r="N167" s="870">
        <f t="shared" ca="1" si="87"/>
        <v>23060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23060</v>
      </c>
      <c r="N168" s="864">
        <f t="shared" ca="1" si="88"/>
        <v>23060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IFERROR(__xludf.DUMMYFUNCTION("IMPORTRANGE(""https://docs.google.com/spreadsheets/d/1MeEWN-I1oV_STSDYn1IFDPWt_1FKiwhDph83XaGc0o0/edit?usp=sharing"",""งบพรบ!CE45"")"),23060)</f>
        <v>23060</v>
      </c>
      <c r="M170" s="870">
        <f ca="1">IFERROR(__xludf.DUMMYFUNCTION("IMPORTRANGE(""https://docs.google.com/spreadsheets/d/1MeEWN-I1oV_STSDYn1IFDPWt_1FKiwhDph83XaGc0o0/edit?usp=sharing"",""งบพรบ!CJ45"")"),23060)</f>
        <v>23060</v>
      </c>
      <c r="N170" s="870">
        <f ca="1">IFERROR(__xludf.DUMMYFUNCTION("IMPORTRANGE(""https://docs.google.com/spreadsheets/d/1MeEWN-I1oV_STSDYn1IFDPWt_1FKiwhDph83XaGc0o0/edit?usp=sharing"",""งบพรบ!CL45"")"),23060)</f>
        <v>23060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IFERROR(__xludf.DUMMYFUNCTION("IMPORTRANGE(""https://docs.google.com/spreadsheets/d/1MeEWN-I1oV_STSDYn1IFDPWt_1FKiwhDph83XaGc0o0/edit?usp=sharing"",""งบพรบ!CH45"")"),0)</f>
        <v>0</v>
      </c>
      <c r="M173" s="870">
        <f ca="1">IFERROR(__xludf.DUMMYFUNCTION("IMPORTRANGE(""https://docs.google.com/spreadsheets/d/1MeEWN-I1oV_STSDYn1IFDPWt_1FKiwhDph83XaGc0o0/edit?usp=sharing"",""งบพรบ!CK45"")"),0)</f>
        <v>0</v>
      </c>
      <c r="N173" s="870">
        <f ca="1">IFERROR(__xludf.DUMMYFUNCTION("IMPORTRANGE(""https://docs.google.com/spreadsheets/d/1MeEWN-I1oV_STSDYn1IFDPWt_1FKiwhDph83XaGc0o0/edit?usp=sharing"",""งบพรบ!CM45"")"),0)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IFERROR(__xludf.DUMMYFUNCTION("IMPORTRANGE(""https://docs.google.com/spreadsheets/d/1QqKyyYR6Q21VydFLVH3TRQUabQu_ym0Zz7PgGX0-kHA/edit?usp=sharing"",""แผน!Y45"")"),12)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40</v>
      </c>
      <c r="J180" s="1041">
        <f t="shared" si="91"/>
        <v>40</v>
      </c>
      <c r="K180" s="1042">
        <f ca="1">IF(I180&gt;0,J180*100/I180,0)</f>
        <v>100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571200</v>
      </c>
      <c r="M181" s="972">
        <f t="shared" ca="1" si="92"/>
        <v>469725</v>
      </c>
      <c r="N181" s="972">
        <f t="shared" ca="1" si="92"/>
        <v>206972.51</v>
      </c>
      <c r="O181" s="972">
        <f t="shared" ref="O181:O189" ca="1" si="93">IF(L181&gt;0,N181*100/L181,0)</f>
        <v>36.234683123249297</v>
      </c>
      <c r="P181" s="972">
        <f t="shared" ref="P181:P189" ca="1" si="94">IF(M181&gt;0,N181*100/M181,0)</f>
        <v>44.062485496833254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571200</v>
      </c>
      <c r="M183" s="870">
        <f t="shared" ca="1" si="95"/>
        <v>469725</v>
      </c>
      <c r="N183" s="870">
        <f t="shared" ca="1" si="95"/>
        <v>206972.51</v>
      </c>
      <c r="O183" s="870">
        <f t="shared" ca="1" si="93"/>
        <v>36.234683123249297</v>
      </c>
      <c r="P183" s="870">
        <f t="shared" ca="1" si="94"/>
        <v>44.062485496833254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571200</v>
      </c>
      <c r="M184" s="864">
        <f t="shared" ca="1" si="96"/>
        <v>469725</v>
      </c>
      <c r="N184" s="864">
        <f t="shared" ca="1" si="96"/>
        <v>206972.51</v>
      </c>
      <c r="O184" s="864">
        <f t="shared" ca="1" si="93"/>
        <v>36.234683123249297</v>
      </c>
      <c r="P184" s="864">
        <f t="shared" ca="1" si="94"/>
        <v>44.062485496833254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IFERROR(__xludf.DUMMYFUNCTION("IMPORTRANGE(""https://docs.google.com/spreadsheets/d/1MeEWN-I1oV_STSDYn1IFDPWt_1FKiwhDph83XaGc0o0/edit?usp=sharing"",""งบพรบ!CO45"")"),571200)</f>
        <v>571200</v>
      </c>
      <c r="M186" s="870">
        <f ca="1">IFERROR(__xludf.DUMMYFUNCTION("IMPORTRANGE(""https://docs.google.com/spreadsheets/d/1MeEWN-I1oV_STSDYn1IFDPWt_1FKiwhDph83XaGc0o0/edit?usp=sharing"",""งบพรบ!CT45"")"),469725)</f>
        <v>469725</v>
      </c>
      <c r="N186" s="870">
        <f ca="1">IFERROR(__xludf.DUMMYFUNCTION("IMPORTRANGE(""https://docs.google.com/spreadsheets/d/1MeEWN-I1oV_STSDYn1IFDPWt_1FKiwhDph83XaGc0o0/edit?usp=sharing"",""งบพรบ!CV45"")"),206972.51)</f>
        <v>206972.51</v>
      </c>
      <c r="O186" s="870">
        <f t="shared" ca="1" si="93"/>
        <v>36.234683123249297</v>
      </c>
      <c r="P186" s="870">
        <f t="shared" ca="1" si="94"/>
        <v>44.062485496833254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IFERROR(__xludf.DUMMYFUNCTION("IMPORTRANGE(""https://docs.google.com/spreadsheets/d/1MeEWN-I1oV_STSDYn1IFDPWt_1FKiwhDph83XaGc0o0/edit?usp=sharing"",""งบพรบ!CR45"")"),0)</f>
        <v>0</v>
      </c>
      <c r="M189" s="870">
        <f ca="1">IFERROR(__xludf.DUMMYFUNCTION("IMPORTRANGE(""https://docs.google.com/spreadsheets/d/1MeEWN-I1oV_STSDYn1IFDPWt_1FKiwhDph83XaGc0o0/edit?usp=sharing"",""งบพรบ!CU45"")"),0)</f>
        <v>0</v>
      </c>
      <c r="N189" s="870">
        <f ca="1">IFERROR(__xludf.DUMMYFUNCTION("IMPORTRANGE(""https://docs.google.com/spreadsheets/d/1MeEWN-I1oV_STSDYn1IFDPWt_1FKiwhDph83XaGc0o0/edit?usp=sharing"",""งบพรบ!CW45"")"),0)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IFERROR(__xludf.DUMMYFUNCTION("IMPORTRANGE(""https://docs.google.com/spreadsheets/d/1QqKyyYR6Q21VydFLVH3TRQUabQu_ym0Zz7PgGX0-kHA/edit?usp=sharing"",""แผน!Z45"")"),6000)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IFERROR(__xludf.DUMMYFUNCTION("IMPORTRANGE(""https://docs.google.com/spreadsheets/d/1QqKyyYR6Q21VydFLVH3TRQUabQu_ym0Zz7PgGX0-kHA/edit?usp=sharing"",""แผน!AC45"")"),4)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0</v>
      </c>
      <c r="K197" s="1058">
        <f ca="1">IF(I197&gt;0,J197*100/I197,0)</f>
        <v>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44000</v>
      </c>
      <c r="M198" s="972"/>
      <c r="N198" s="972">
        <f>N199+N200+N201+N202</f>
        <v>0</v>
      </c>
      <c r="O198" s="972">
        <f ca="1">IF(L198&gt;0,N198*100/L198,0)</f>
        <v>0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IFERROR(__xludf.DUMMYFUNCTION("IMPORTRANGE(""https://docs.google.com/spreadsheets/d/1QqKyyYR6Q21VydFLVH3TRQUabQu_ym0Zz7PgGX0-kHA/edit?usp=sharing"",""แผน!AE45"")"),3000)</f>
        <v>3000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IFERROR(__xludf.DUMMYFUNCTION("IMPORTRANGE(""https://docs.google.com/spreadsheets/d/1QqKyyYR6Q21VydFLVH3TRQUabQu_ym0Zz7PgGX0-kHA/edit?usp=sharing"",""แผน!AF45"")"),24000)</f>
        <v>24000</v>
      </c>
      <c r="M200" s="864"/>
      <c r="N200" s="1064">
        <v>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IFERROR(__xludf.DUMMYFUNCTION("IMPORTRANGE(""https://docs.google.com/spreadsheets/d/1QqKyyYR6Q21VydFLVH3TRQUabQu_ym0Zz7PgGX0-kHA/edit?usp=sharing"",""แผน!AG45"")"),12000)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IFERROR(__xludf.DUMMYFUNCTION("IMPORTRANGE(""https://docs.google.com/spreadsheets/d/1QqKyyYR6Q21VydFLVH3TRQUabQu_ym0Zz7PgGX0-kHA/edit?usp=sharing"",""แผน!AH45"")"),5000)</f>
        <v>5000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IFERROR(__xludf.DUMMYFUNCTION("IMPORTRANGE(""https://docs.google.com/spreadsheets/d/1QqKyyYR6Q21VydFLVH3TRQUabQu_ym0Zz7PgGX0-kHA/edit?usp=sharing"",""แผน!AI45"")"),3)</f>
        <v>3</v>
      </c>
      <c r="J204" s="992">
        <v>0</v>
      </c>
      <c r="K204" s="978">
        <f ca="1">IF(I204&gt;0,J204*100/I204,0)</f>
        <v>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1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 hidden="1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0</v>
      </c>
      <c r="J208" s="1057">
        <f t="shared" si="101"/>
        <v>0</v>
      </c>
      <c r="K208" s="1058">
        <f t="shared" ca="1" si="100"/>
        <v>0</v>
      </c>
      <c r="L208" s="1049"/>
      <c r="M208" s="1049"/>
      <c r="N208" s="1049"/>
      <c r="O208" s="1049"/>
      <c r="P208" s="1049"/>
    </row>
    <row r="209" spans="1:26" ht="19.5" hidden="1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0</v>
      </c>
      <c r="M209" s="972"/>
      <c r="N209" s="972">
        <f>N210+N211+N212</f>
        <v>0</v>
      </c>
      <c r="O209" s="972">
        <f ca="1">IF(L209&gt;0,N209*100/L209,0)</f>
        <v>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 hidden="1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IFERROR(__xludf.DUMMYFUNCTION("IMPORTRANGE(""https://docs.google.com/spreadsheets/d/1QqKyyYR6Q21VydFLVH3TRQUabQu_ym0Zz7PgGX0-kHA/edit?usp=sharing"",""แผน!AK45"")"),0)</f>
        <v>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 hidden="1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IFERROR(__xludf.DUMMYFUNCTION("IMPORTRANGE(""https://docs.google.com/spreadsheets/d/1QqKyyYR6Q21VydFLVH3TRQUabQu_ym0Zz7PgGX0-kHA/edit?usp=sharing"",""แผน!AL45"")"),0)</f>
        <v>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 hidden="1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IFERROR(__xludf.DUMMYFUNCTION("IMPORTRANGE(""https://docs.google.com/spreadsheets/d/1QqKyyYR6Q21VydFLVH3TRQUabQu_ym0Zz7PgGX0-kHA/edit?usp=sharing"",""แผน!AM45"")"),0)</f>
        <v>0</v>
      </c>
      <c r="M212" s="864"/>
      <c r="N212" s="1064">
        <v>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 hidden="1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 hidden="1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IFERROR(__xludf.DUMMYFUNCTION("IMPORTRANGE(""https://docs.google.com/spreadsheets/d/1QqKyyYR6Q21VydFLVH3TRQUabQu_ym0Zz7PgGX0-kHA/edit?usp=sharing"",""แผน!AN45"")"),0)</f>
        <v>0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 hidden="1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IFERROR(__xludf.DUMMYFUNCTION("IMPORTRANGE(""https://docs.google.com/spreadsheets/d/1QqKyyYR6Q21VydFLVH3TRQUabQu_ym0Zz7PgGX0-kHA/edit?usp=sharing"",""แผน!AN45"")"),0)</f>
        <v>0</v>
      </c>
      <c r="J215" s="992">
        <v>0</v>
      </c>
      <c r="K215" s="864">
        <f t="shared" ca="1" si="102"/>
        <v>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12800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7100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IFERROR(__xludf.DUMMYFUNCTION("IMPORTRANGE(""https://docs.google.com/spreadsheets/d/1QqKyyYR6Q21VydFLVH3TRQUabQu_ym0Zz7PgGX0-kHA/edit?usp=sharing"",""แผน!AP45"")"),3000)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IFERROR(__xludf.DUMMYFUNCTION("IMPORTRANGE(""https://docs.google.com/spreadsheets/d/1QqKyyYR6Q21VydFLVH3TRQUabQu_ym0Zz7PgGX0-kHA/edit?usp=sharing"",""แผน!AQ45"")"),4100)</f>
        <v>4100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IFERROR(__xludf.DUMMYFUNCTION("IMPORTRANGE(""https://docs.google.com/spreadsheets/d/1QqKyyYR6Q21VydFLVH3TRQUabQu_ym0Zz7PgGX0-kHA/edit?usp=sharing"",""แผน!AR45"")"),0)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IFERROR(__xludf.DUMMYFUNCTION("IMPORTRANGE(""https://docs.google.com/spreadsheets/d/1QqKyyYR6Q21VydFLVH3TRQUabQu_ym0Zz7PgGX0-kHA/edit?usp=sharing"",""แผน!AT45"")"),12800)</f>
        <v>12800</v>
      </c>
      <c r="J223" s="992">
        <v>12800</v>
      </c>
      <c r="K223" s="978">
        <f t="shared" ref="K223:K226" ca="1" si="104">IF(I223&gt;0,J223*100/I223,0)</f>
        <v>100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IFERROR(__xludf.DUMMYFUNCTION("IMPORTRANGE(""https://docs.google.com/spreadsheets/d/1QqKyyYR6Q21VydFLVH3TRQUabQu_ym0Zz7PgGX0-kHA/edit?usp=sharing"",""แผน!AT45"")"),12800)</f>
        <v>12800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IFERROR(__xludf.DUMMYFUNCTION("IMPORTRANGE(""https://docs.google.com/spreadsheets/d/1QqKyyYR6Q21VydFLVH3TRQUabQu_ym0Zz7PgGX0-kHA/edit?usp=sharing"",""แผน!AS45"")"),0)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40</v>
      </c>
      <c r="J226" s="1073">
        <f t="shared" si="105"/>
        <v>40</v>
      </c>
      <c r="K226" s="1074">
        <f t="shared" ca="1" si="104"/>
        <v>100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338600</v>
      </c>
      <c r="M227" s="1082"/>
      <c r="N227" s="1082">
        <f t="shared" ref="N227:N231" si="107">N238+N249</f>
        <v>97100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163000</v>
      </c>
      <c r="M228" s="870"/>
      <c r="N228" s="870">
        <f t="shared" si="107"/>
        <v>56080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145600</v>
      </c>
      <c r="M229" s="870"/>
      <c r="N229" s="870">
        <f t="shared" si="107"/>
        <v>41020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20000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10000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40</v>
      </c>
      <c r="J233" s="869">
        <f t="shared" si="108"/>
        <v>40</v>
      </c>
      <c r="K233" s="870">
        <f ca="1">IF(I233&gt;0,J233*100/I233,0)</f>
        <v>100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40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1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>
      <c r="A237" s="1044"/>
      <c r="B237" s="1051"/>
      <c r="C237" s="1056" t="s">
        <v>351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40</v>
      </c>
      <c r="J237" s="1057">
        <f t="shared" si="111"/>
        <v>40</v>
      </c>
      <c r="K237" s="1058">
        <f t="shared" ca="1" si="110"/>
        <v>100</v>
      </c>
      <c r="L237" s="1049"/>
      <c r="M237" s="1049"/>
      <c r="N237" s="1049"/>
      <c r="O237" s="1049"/>
      <c r="P237" s="1049"/>
    </row>
    <row r="238" spans="1:26" ht="19.5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338600</v>
      </c>
      <c r="M238" s="972"/>
      <c r="N238" s="972">
        <f>N239+N240+N241+N242</f>
        <v>97100</v>
      </c>
      <c r="O238" s="972">
        <f ca="1">IF(L238&gt;0,N238*100/L238,0)</f>
        <v>28.676904902539871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IFERROR(__xludf.DUMMYFUNCTION("IMPORTRANGE(""https://docs.google.com/spreadsheets/d/1QqKyyYR6Q21VydFLVH3TRQUabQu_ym0Zz7PgGX0-kHA/edit?usp=sharing"",""แผน!AV45"")"),163000)</f>
        <v>163000</v>
      </c>
      <c r="M239" s="1103"/>
      <c r="N239" s="1104">
        <v>56080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IFERROR(__xludf.DUMMYFUNCTION("IMPORTRANGE(""https://docs.google.com/spreadsheets/d/1QqKyyYR6Q21VydFLVH3TRQUabQu_ym0Zz7PgGX0-kHA/edit?usp=sharing"",""แผน!AW45"")"),145600)</f>
        <v>145600</v>
      </c>
      <c r="M240" s="1103"/>
      <c r="N240" s="1104">
        <v>41020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IFERROR(__xludf.DUMMYFUNCTION("IMPORTRANGE(""https://docs.google.com/spreadsheets/d/1QqKyyYR6Q21VydFLVH3TRQUabQu_ym0Zz7PgGX0-kHA/edit?usp=sharing"",""แผน!AX45"")"),20000)</f>
        <v>20000</v>
      </c>
      <c r="M241" s="1103"/>
      <c r="N241" s="1104"/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IFERROR(__xludf.DUMMYFUNCTION("IMPORTRANGE(""https://docs.google.com/spreadsheets/d/1QqKyyYR6Q21VydFLVH3TRQUabQu_ym0Zz7PgGX0-kHA/edit?usp=sharing"",""แผน!AY45"")"),10000)</f>
        <v>10000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IFERROR(__xludf.DUMMYFUNCTION("IMPORTRANGE(""https://docs.google.com/spreadsheets/d/1QqKyyYR6Q21VydFLVH3TRQUabQu_ym0Zz7PgGX0-kHA/edit?usp=sharing"",""แผน!BE45"")"),40)</f>
        <v>40</v>
      </c>
      <c r="J244" s="992">
        <v>40</v>
      </c>
      <c r="K244" s="864">
        <f ca="1">IF(I244&gt;0,J244*100/I244,0)</f>
        <v>100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>
        <v>40</v>
      </c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>
        <v>1</v>
      </c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IFERROR(__xludf.DUMMYFUNCTION("IMPORTRANGE(""https://docs.google.com/spreadsheets/d/1QqKyyYR6Q21VydFLVH3TRQUabQu_ym0Zz7PgGX0-kHA/edit?usp=sharing"",""แผน!AZ45"")"),0)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IFERROR(__xludf.DUMMYFUNCTION("IMPORTRANGE(""https://docs.google.com/spreadsheets/d/1QqKyyYR6Q21VydFLVH3TRQUabQu_ym0Zz7PgGX0-kHA/edit?usp=sharing"",""แผน!BA45"")"),0)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IFERROR(__xludf.DUMMYFUNCTION("IMPORTRANGE(""https://docs.google.com/spreadsheets/d/1QqKyyYR6Q21VydFLVH3TRQUabQu_ym0Zz7PgGX0-kHA/edit?usp=sharing"",""แผน!BB45"")"),0)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IFERROR(__xludf.DUMMYFUNCTION("IMPORTRANGE(""https://docs.google.com/spreadsheets/d/1QqKyyYR6Q21VydFLVH3TRQUabQu_ym0Zz7PgGX0-kHA/edit?usp=sharing"",""แผน!BC45"")"),0)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IFERROR(__xludf.DUMMYFUNCTION("IMPORTRANGE(""https://docs.google.com/spreadsheets/d/1QqKyyYR6Q21VydFLVH3TRQUabQu_ym0Zz7PgGX0-kHA/edit?usp=sharing"",""แผน!BF45"")"),0)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26</v>
      </c>
      <c r="J260" s="1041">
        <f t="shared" si="115"/>
        <v>26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30700</v>
      </c>
      <c r="M261" s="972">
        <f t="shared" ca="1" si="116"/>
        <v>27700</v>
      </c>
      <c r="N261" s="972">
        <f t="shared" ca="1" si="116"/>
        <v>26192</v>
      </c>
      <c r="O261" s="972">
        <f t="shared" ref="O261:O269" ca="1" si="117">IF(L261&gt;0,N261*100/L261,0)</f>
        <v>85.31596091205212</v>
      </c>
      <c r="P261" s="972">
        <f t="shared" ref="P261:P269" ca="1" si="118">IF(M261&gt;0,N261*100/M261,0)</f>
        <v>94.555956678700355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30700</v>
      </c>
      <c r="M263" s="870">
        <f t="shared" ca="1" si="119"/>
        <v>27700</v>
      </c>
      <c r="N263" s="870">
        <f t="shared" ca="1" si="119"/>
        <v>26192</v>
      </c>
      <c r="O263" s="870">
        <f t="shared" ca="1" si="117"/>
        <v>85.31596091205212</v>
      </c>
      <c r="P263" s="870">
        <f t="shared" ca="1" si="118"/>
        <v>94.555956678700355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30700</v>
      </c>
      <c r="M264" s="864">
        <f t="shared" ca="1" si="120"/>
        <v>27700</v>
      </c>
      <c r="N264" s="864">
        <f t="shared" ca="1" si="120"/>
        <v>26192</v>
      </c>
      <c r="O264" s="864">
        <f t="shared" ca="1" si="117"/>
        <v>85.31596091205212</v>
      </c>
      <c r="P264" s="864">
        <f t="shared" ca="1" si="118"/>
        <v>94.555956678700355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IFERROR(__xludf.DUMMYFUNCTION("IMPORTRANGE(""https://docs.google.com/spreadsheets/d/1MeEWN-I1oV_STSDYn1IFDPWt_1FKiwhDph83XaGc0o0/edit?usp=sharing"",""งบพรบ!CY45"")"),30700)</f>
        <v>30700</v>
      </c>
      <c r="M266" s="870">
        <f ca="1">IFERROR(__xludf.DUMMYFUNCTION("IMPORTRANGE(""https://docs.google.com/spreadsheets/d/1MeEWN-I1oV_STSDYn1IFDPWt_1FKiwhDph83XaGc0o0/edit?usp=sharing"",""งบพรบ!DD45"")"),27700)</f>
        <v>27700</v>
      </c>
      <c r="N266" s="870">
        <f ca="1">IFERROR(__xludf.DUMMYFUNCTION("IMPORTRANGE(""https://docs.google.com/spreadsheets/d/1MeEWN-I1oV_STSDYn1IFDPWt_1FKiwhDph83XaGc0o0/edit?usp=sharing"",""งบพรบ!DF45"")"),26192)</f>
        <v>26192</v>
      </c>
      <c r="O266" s="870">
        <f t="shared" ca="1" si="117"/>
        <v>85.31596091205212</v>
      </c>
      <c r="P266" s="870">
        <f t="shared" ca="1" si="118"/>
        <v>94.555956678700355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IFERROR(__xludf.DUMMYFUNCTION("IMPORTRANGE(""https://docs.google.com/spreadsheets/d/1MeEWN-I1oV_STSDYn1IFDPWt_1FKiwhDph83XaGc0o0/edit?usp=sharing"",""งบพรบ!DB45"")"),0)</f>
        <v>0</v>
      </c>
      <c r="M269" s="870">
        <f ca="1">IFERROR(__xludf.DUMMYFUNCTION("IMPORTRANGE(""https://docs.google.com/spreadsheets/d/1MeEWN-I1oV_STSDYn1IFDPWt_1FKiwhDph83XaGc0o0/edit?usp=sharing"",""งบพรบ!DE45"")"),0)</f>
        <v>0</v>
      </c>
      <c r="N269" s="870">
        <f ca="1">IFERROR(__xludf.DUMMYFUNCTION("IMPORTRANGE(""https://docs.google.com/spreadsheets/d/1MeEWN-I1oV_STSDYn1IFDPWt_1FKiwhDph83XaGc0o0/edit?usp=sharing"",""งบพรบ!DG45"")"),0)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IFERROR(__xludf.DUMMYFUNCTION("IMPORTRANGE(""https://docs.google.com/spreadsheets/d/1QqKyyYR6Q21VydFLVH3TRQUabQu_ym0Zz7PgGX0-kHA/edit?usp=sharing"",""แผน!EA45"")"),26)</f>
        <v>26</v>
      </c>
      <c r="J271" s="992">
        <v>26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30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300</v>
      </c>
      <c r="J276" s="1141">
        <f t="shared" si="124"/>
        <v>300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111710</v>
      </c>
      <c r="M277" s="972">
        <f t="shared" ca="1" si="125"/>
        <v>111710</v>
      </c>
      <c r="N277" s="972">
        <f t="shared" ca="1" si="125"/>
        <v>58895</v>
      </c>
      <c r="O277" s="972">
        <f t="shared" ref="O277:O285" ca="1" si="126">IF(L277&gt;0,N277*100/L277,0)</f>
        <v>52.721332020409989</v>
      </c>
      <c r="P277" s="972">
        <f t="shared" ref="P277:P285" ca="1" si="127">IF(M277&gt;0,N277*100/M277,0)</f>
        <v>52.721332020409989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111710</v>
      </c>
      <c r="M279" s="870">
        <f t="shared" ca="1" si="128"/>
        <v>111710</v>
      </c>
      <c r="N279" s="870">
        <f t="shared" ca="1" si="128"/>
        <v>58895</v>
      </c>
      <c r="O279" s="870">
        <f t="shared" ca="1" si="126"/>
        <v>52.721332020409989</v>
      </c>
      <c r="P279" s="870">
        <f t="shared" ca="1" si="127"/>
        <v>52.721332020409989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111710</v>
      </c>
      <c r="M280" s="864">
        <f t="shared" ca="1" si="129"/>
        <v>111710</v>
      </c>
      <c r="N280" s="864">
        <f t="shared" ca="1" si="129"/>
        <v>58895</v>
      </c>
      <c r="O280" s="864">
        <f t="shared" ca="1" si="126"/>
        <v>52.721332020409989</v>
      </c>
      <c r="P280" s="864">
        <f t="shared" ca="1" si="127"/>
        <v>52.721332020409989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IFERROR(__xludf.DUMMYFUNCTION("IMPORTRANGE(""https://docs.google.com/spreadsheets/d/1MeEWN-I1oV_STSDYn1IFDPWt_1FKiwhDph83XaGc0o0/edit?usp=sharing"",""งบพรบ!DI45"")"),111710)</f>
        <v>111710</v>
      </c>
      <c r="M282" s="870">
        <f ca="1">IFERROR(__xludf.DUMMYFUNCTION("IMPORTRANGE(""https://docs.google.com/spreadsheets/d/1MeEWN-I1oV_STSDYn1IFDPWt_1FKiwhDph83XaGc0o0/edit?usp=sharing"",""งบพรบ!DN45"")"),111710)</f>
        <v>111710</v>
      </c>
      <c r="N282" s="870">
        <f ca="1">IFERROR(__xludf.DUMMYFUNCTION("IMPORTRANGE(""https://docs.google.com/spreadsheets/d/1MeEWN-I1oV_STSDYn1IFDPWt_1FKiwhDph83XaGc0o0/edit?usp=sharing"",""งบพรบ!DP45"")"),58895)</f>
        <v>58895</v>
      </c>
      <c r="O282" s="870">
        <f t="shared" ca="1" si="126"/>
        <v>52.721332020409989</v>
      </c>
      <c r="P282" s="870">
        <f t="shared" ca="1" si="127"/>
        <v>52.721332020409989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IFERROR(__xludf.DUMMYFUNCTION("IMPORTRANGE(""https://docs.google.com/spreadsheets/d/1MeEWN-I1oV_STSDYn1IFDPWt_1FKiwhDph83XaGc0o0/edit?usp=sharing"",""งบพรบ!DL45"")"),0)</f>
        <v>0</v>
      </c>
      <c r="M285" s="870">
        <f ca="1">IFERROR(__xludf.DUMMYFUNCTION("IMPORTRANGE(""https://docs.google.com/spreadsheets/d/1MeEWN-I1oV_STSDYn1IFDPWt_1FKiwhDph83XaGc0o0/edit?usp=sharing"",""งบพรบ!DO45"")"),0)</f>
        <v>0</v>
      </c>
      <c r="N285" s="870">
        <f ca="1">IFERROR(__xludf.DUMMYFUNCTION("IMPORTRANGE(""https://docs.google.com/spreadsheets/d/1MeEWN-I1oV_STSDYn1IFDPWt_1FKiwhDph83XaGc0o0/edit?usp=sharing"",""งบพรบ!DQ45"")"),0)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IFERROR(__xludf.DUMMYFUNCTION("IMPORTRANGE(""https://docs.google.com/spreadsheets/d/1QqKyyYR6Q21VydFLVH3TRQUabQu_ym0Zz7PgGX0-kHA/edit?usp=sharing"",""แผน!EC45"")"),300)</f>
        <v>300</v>
      </c>
      <c r="J287" s="992">
        <v>300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IFERROR(__xludf.DUMMYFUNCTION("IMPORTRANGE(""https://docs.google.com/spreadsheets/d/1QqKyyYR6Q21VydFLVH3TRQUabQu_ym0Zz7PgGX0-kHA/edit?usp=sharing"",""แผน!EB45"")"),30)</f>
        <v>30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IFERROR(__xludf.DUMMYFUNCTION("IMPORTRANGE(""https://docs.google.com/spreadsheets/d/1QqKyyYR6Q21VydFLVH3TRQUabQu_ym0Zz7PgGX0-kHA/edit?usp=sharing"",""แผน!EB45"")"),30)</f>
        <v>30</v>
      </c>
      <c r="J290" s="992">
        <v>30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IFERROR(__xludf.DUMMYFUNCTION("IMPORTRANGE(""https://docs.google.com/spreadsheets/d/1QqKyyYR6Q21VydFLVH3TRQUabQu_ym0Zz7PgGX0-kHA/edit?usp=sharing"",""แผน!EB45"")"),30)</f>
        <v>30</v>
      </c>
      <c r="J291" s="992">
        <v>0</v>
      </c>
      <c r="K291" s="978">
        <f t="shared" ca="1" si="132"/>
        <v>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IFERROR(__xludf.DUMMYFUNCTION("IMPORTRANGE(""https://docs.google.com/spreadsheets/d/1QqKyyYR6Q21VydFLVH3TRQUabQu_ym0Zz7PgGX0-kHA/edit?usp=sharing"",""แผน!EB45"")"),30)</f>
        <v>30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IFERROR(__xludf.DUMMYFUNCTION("IMPORTRANGE(""https://docs.google.com/spreadsheets/d/1QqKyyYR6Q21VydFLVH3TRQUabQu_ym0Zz7PgGX0-kHA/edit?usp=sharing"",""แผน!EB45"")"),30)</f>
        <v>30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10</v>
      </c>
      <c r="K297" s="1171">
        <f ca="1">IF(I297&gt;0,J297*100/I297,0)</f>
        <v>50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39350</v>
      </c>
      <c r="O298" s="972">
        <f t="shared" ref="O298:O306" ca="1" si="136">IF(L298&gt;0,N298*100/L298,0)</f>
        <v>47.754854368932037</v>
      </c>
      <c r="P298" s="972">
        <f t="shared" ref="P298:P306" ca="1" si="137">IF(M298&gt;0,N298*100/M298,0)</f>
        <v>61.102484472049689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39350</v>
      </c>
      <c r="O300" s="870">
        <f t="shared" ca="1" si="136"/>
        <v>47.754854368932037</v>
      </c>
      <c r="P300" s="870">
        <f t="shared" ca="1" si="137"/>
        <v>61.102484472049689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39350</v>
      </c>
      <c r="O301" s="864">
        <f t="shared" ca="1" si="136"/>
        <v>47.754854368932037</v>
      </c>
      <c r="P301" s="864">
        <f t="shared" ca="1" si="137"/>
        <v>61.102484472049689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IFERROR(__xludf.DUMMYFUNCTION("IMPORTRANGE(""https://docs.google.com/spreadsheets/d/1MeEWN-I1oV_STSDYn1IFDPWt_1FKiwhDph83XaGc0o0/edit?usp=sharing"",""งบพรบ!DS45"")"),82400)</f>
        <v>82400</v>
      </c>
      <c r="M303" s="870">
        <f ca="1">IFERROR(__xludf.DUMMYFUNCTION("IMPORTRANGE(""https://docs.google.com/spreadsheets/d/1MeEWN-I1oV_STSDYn1IFDPWt_1FKiwhDph83XaGc0o0/edit?usp=sharing"",""งบพรบ!DX45"")"),64400)</f>
        <v>64400</v>
      </c>
      <c r="N303" s="870">
        <f ca="1">IFERROR(__xludf.DUMMYFUNCTION("IMPORTRANGE(""https://docs.google.com/spreadsheets/d/1MeEWN-I1oV_STSDYn1IFDPWt_1FKiwhDph83XaGc0o0/edit?usp=sharing"",""งบพรบ!DZ45"")"),39350)</f>
        <v>39350</v>
      </c>
      <c r="O303" s="870">
        <f t="shared" ca="1" si="136"/>
        <v>47.754854368932037</v>
      </c>
      <c r="P303" s="870">
        <f t="shared" ca="1" si="137"/>
        <v>61.102484472049689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IFERROR(__xludf.DUMMYFUNCTION("IMPORTRANGE(""https://docs.google.com/spreadsheets/d/1MeEWN-I1oV_STSDYn1IFDPWt_1FKiwhDph83XaGc0o0/edit?usp=sharing"",""งบพรบ!DV45"")"),0)</f>
        <v>0</v>
      </c>
      <c r="M306" s="870">
        <f ca="1">IFERROR(__xludf.DUMMYFUNCTION("IMPORTRANGE(""https://docs.google.com/spreadsheets/d/1MeEWN-I1oV_STSDYn1IFDPWt_1FKiwhDph83XaGc0o0/edit?usp=sharing"",""งบพรบ!DY45"")"),0)</f>
        <v>0</v>
      </c>
      <c r="N306" s="870">
        <f ca="1">IFERROR(__xludf.DUMMYFUNCTION("IMPORTRANGE(""https://docs.google.com/spreadsheets/d/1MeEWN-I1oV_STSDYn1IFDPWt_1FKiwhDph83XaGc0o0/edit?usp=sharing"",""งบพรบ!EA45"")"),0)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IFERROR(__xludf.DUMMYFUNCTION("IMPORTRANGE(""https://docs.google.com/spreadsheets/d/1QqKyyYR6Q21VydFLVH3TRQUabQu_ym0Zz7PgGX0-kHA/edit?usp=sharing"",""แผน!ED45"")"),20)</f>
        <v>20</v>
      </c>
      <c r="J309" s="992">
        <v>10</v>
      </c>
      <c r="K309" s="864">
        <f t="shared" ref="K309:K312" ca="1" si="141">IF(I309&gt;0,J309*100/I309,0)</f>
        <v>50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IFERROR(__xludf.DUMMYFUNCTION("IMPORTRANGE(""https://docs.google.com/spreadsheets/d/1QqKyyYR6Q21VydFLVH3TRQUabQu_ym0Zz7PgGX0-kHA/edit?usp=sharing"",""แผน!ED45"")"),20)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IFERROR(__xludf.DUMMYFUNCTION("IMPORTRANGE(""https://docs.google.com/spreadsheets/d/1QqKyyYR6Q21VydFLVH3TRQUabQu_ym0Zz7PgGX0-kHA/edit?usp=sharing"",""แผน!ED45"")"),20)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IFERROR(__xludf.DUMMYFUNCTION("IMPORTRANGE(""https://docs.google.com/spreadsheets/d/1QqKyyYR6Q21VydFLVH3TRQUabQu_ym0Zz7PgGX0-kHA/edit?usp=sharing"",""แผน!EE45"")"),4)</f>
        <v>4</v>
      </c>
      <c r="J312" s="992"/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IFERROR(__xludf.DUMMYFUNCTION("IMPORTRANGE(""https://docs.google.com/spreadsheets/d/1MeEWN-I1oV_STSDYn1IFDPWt_1FKiwhDph83XaGc0o0/edit?usp=sharing"",""งบพรบ!EC45"")"),0)</f>
        <v>0</v>
      </c>
      <c r="M320" s="870">
        <f ca="1">IFERROR(__xludf.DUMMYFUNCTION("IMPORTRANGE(""https://docs.google.com/spreadsheets/d/1MeEWN-I1oV_STSDYn1IFDPWt_1FKiwhDph83XaGc0o0/edit?usp=sharing"",""งบพรบ!EH45"")"),0)</f>
        <v>0</v>
      </c>
      <c r="N320" s="870">
        <f ca="1">IFERROR(__xludf.DUMMYFUNCTION("IMPORTRANGE(""https://docs.google.com/spreadsheets/d/1MeEWN-I1oV_STSDYn1IFDPWt_1FKiwhDph83XaGc0o0/edit?usp=sharing"",""งบพรบ!EJ45"")"),0)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IFERROR(__xludf.DUMMYFUNCTION("IMPORTRANGE(""https://docs.google.com/spreadsheets/d/1MeEWN-I1oV_STSDYn1IFDPWt_1FKiwhDph83XaGc0o0/edit?usp=sharing"",""งบพรบ!EF45"")"),0)</f>
        <v>0</v>
      </c>
      <c r="M323" s="870">
        <f ca="1">IFERROR(__xludf.DUMMYFUNCTION("IMPORTRANGE(""https://docs.google.com/spreadsheets/d/1MeEWN-I1oV_STSDYn1IFDPWt_1FKiwhDph83XaGc0o0/edit?usp=sharing"",""งบพรบ!EI45"")"),0)</f>
        <v>0</v>
      </c>
      <c r="N323" s="870">
        <f ca="1">IFERROR(__xludf.DUMMYFUNCTION("IMPORTRANGE(""https://docs.google.com/spreadsheets/d/1MeEWN-I1oV_STSDYn1IFDPWt_1FKiwhDph83XaGc0o0/edit?usp=sharing"",""งบพรบ!EK45"")"),0)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IFERROR(__xludf.DUMMYFUNCTION("IMPORTRANGE(""https://docs.google.com/spreadsheets/d/1QqKyyYR6Q21VydFLVH3TRQUabQu_ym0Zz7PgGX0-kHA/edit?usp=sharing"",""แผน!EF45"")"),0)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IFERROR(__xludf.DUMMYFUNCTION("IMPORTRANGE(""https://docs.google.com/spreadsheets/d/1QqKyyYR6Q21VydFLVH3TRQUabQu_ym0Zz7PgGX0-kHA/edit?usp=sharing"",""แผน!EG45"")"),3000)</f>
        <v>3000</v>
      </c>
      <c r="J327" s="1170">
        <f ca="1">J338+J341+J342+J343</f>
        <v>2056</v>
      </c>
      <c r="K327" s="1171">
        <f ca="1">IF(I327&gt;0,J327*100/I327,0)</f>
        <v>68.533333333333331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176000</v>
      </c>
      <c r="M328" s="972">
        <f t="shared" ca="1" si="149"/>
        <v>134500</v>
      </c>
      <c r="N328" s="972">
        <f t="shared" ca="1" si="149"/>
        <v>87880</v>
      </c>
      <c r="O328" s="972">
        <f t="shared" ref="O328:O336" ca="1" si="150">IF(L328&gt;0,N328*100/L328,0)</f>
        <v>49.93181818181818</v>
      </c>
      <c r="P328" s="972">
        <f t="shared" ref="P328:P336" ca="1" si="151">IF(M328&gt;0,N328*100/M328,0)</f>
        <v>65.338289962825286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176000</v>
      </c>
      <c r="M330" s="870">
        <f t="shared" ca="1" si="152"/>
        <v>134500</v>
      </c>
      <c r="N330" s="870">
        <f t="shared" ca="1" si="152"/>
        <v>87880</v>
      </c>
      <c r="O330" s="870">
        <f t="shared" ca="1" si="150"/>
        <v>49.93181818181818</v>
      </c>
      <c r="P330" s="870">
        <f t="shared" ca="1" si="151"/>
        <v>65.338289962825286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176000</v>
      </c>
      <c r="M331" s="864">
        <f t="shared" ca="1" si="153"/>
        <v>134500</v>
      </c>
      <c r="N331" s="864">
        <f t="shared" ca="1" si="153"/>
        <v>87880</v>
      </c>
      <c r="O331" s="864">
        <f t="shared" ca="1" si="150"/>
        <v>49.93181818181818</v>
      </c>
      <c r="P331" s="864">
        <f t="shared" ca="1" si="151"/>
        <v>65.338289962825286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IFERROR(__xludf.DUMMYFUNCTION("IMPORTRANGE(""https://docs.google.com/spreadsheets/d/1MeEWN-I1oV_STSDYn1IFDPWt_1FKiwhDph83XaGc0o0/edit?usp=sharing"",""งบพรบ!EM45"")"),176000)</f>
        <v>176000</v>
      </c>
      <c r="M333" s="870">
        <f ca="1">IFERROR(__xludf.DUMMYFUNCTION("IMPORTRANGE(""https://docs.google.com/spreadsheets/d/1MeEWN-I1oV_STSDYn1IFDPWt_1FKiwhDph83XaGc0o0/edit?usp=sharing"",""งบพรบ!ER45"")"),134500)</f>
        <v>134500</v>
      </c>
      <c r="N333" s="870">
        <f ca="1">IFERROR(__xludf.DUMMYFUNCTION("IMPORTRANGE(""https://docs.google.com/spreadsheets/d/1MeEWN-I1oV_STSDYn1IFDPWt_1FKiwhDph83XaGc0o0/edit?usp=sharing"",""งบพรบ!ET45"")"),87880)</f>
        <v>87880</v>
      </c>
      <c r="O333" s="870">
        <f t="shared" ca="1" si="150"/>
        <v>49.93181818181818</v>
      </c>
      <c r="P333" s="870">
        <f t="shared" ca="1" si="151"/>
        <v>65.338289962825286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IFERROR(__xludf.DUMMYFUNCTION("IMPORTRANGE(""https://docs.google.com/spreadsheets/d/1MeEWN-I1oV_STSDYn1IFDPWt_1FKiwhDph83XaGc0o0/edit?usp=sharing"",""งบพรบ!EP45"")"),0)</f>
        <v>0</v>
      </c>
      <c r="M336" s="870">
        <f ca="1">IFERROR(__xludf.DUMMYFUNCTION("IMPORTRANGE(""https://docs.google.com/spreadsheets/d/1MeEWN-I1oV_STSDYn1IFDPWt_1FKiwhDph83XaGc0o0/edit?usp=sharing"",""งบพรบ!ES45"")"),0)</f>
        <v>0</v>
      </c>
      <c r="N336" s="870">
        <f ca="1">IFERROR(__xludf.DUMMYFUNCTION("IMPORTRANGE(""https://docs.google.com/spreadsheets/d/1MeEWN-I1oV_STSDYn1IFDPWt_1FKiwhDph83XaGc0o0/edit?usp=sharing"",""งบพรบ!EU45"")"),0)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IFERROR(__xludf.DUMMYFUNCTION("IMPORTRANGE(""https://docs.google.com/spreadsheets/d/1QqKyyYR6Q21VydFLVH3TRQUabQu_ym0Zz7PgGX0-kHA/edit?usp=sharing"",""แผน!EG45"")"),3000)</f>
        <v>3000</v>
      </c>
      <c r="J338" s="863">
        <f ca="1">IFERROR(__xludf.DUMMYFUNCTION("IMPORTRANGE(""https://docs.google.com/spreadsheets/d/1kVcqe37tkHyjCSG3S0O1AXqVkqjo8mSIZil3BcpIysc/edit?usp=sharing"",""ศูนย์!D45"")"),1459)</f>
        <v>1459</v>
      </c>
      <c r="K338" s="864">
        <f ca="1">IF(I338&gt;0,J338*100/I338,0)</f>
        <v>48.633333333333333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IFERROR(__xludf.DUMMYFUNCTION("IMPORTRANGE(""https://docs.google.com/spreadsheets/d/1QqKyyYR6Q21VydFLVH3TRQUabQu_ym0Zz7PgGX0-kHA/edit?usp=sharing"",""แผน!EH45"")"),9)</f>
        <v>9</v>
      </c>
      <c r="J340" s="863">
        <f ca="1">IFERROR(__xludf.DUMMYFUNCTION("IMPORTRANGE(""https://docs.google.com/spreadsheets/d/1kVcqe37tkHyjCSG3S0O1AXqVkqjo8mSIZil3BcpIysc/edit?usp=sharing"",""ศูนย์!E45"")"),4)</f>
        <v>4</v>
      </c>
      <c r="K340" s="864">
        <f ca="1">IF(I340&gt;0,J340*100/I340,0)</f>
        <v>44.444444444444443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IFERROR(__xludf.DUMMYFUNCTION("IMPORTRANGE(""https://docs.google.com/spreadsheets/d/1kVcqe37tkHyjCSG3S0O1AXqVkqjo8mSIZil3BcpIysc/edit?usp=sharing"",""ศูนย์!F45"")"),597)</f>
        <v>597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IFERROR(__xludf.DUMMYFUNCTION("IMPORTRANGE(""https://docs.google.com/spreadsheets/d/1kVcqe37tkHyjCSG3S0O1AXqVkqjo8mSIZil3BcpIysc/edit?usp=sharing"",""ศูนย์!G45"")"),0)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IFERROR(__xludf.DUMMYFUNCTION("IMPORTRANGE(""https://docs.google.com/spreadsheets/d/1kVcqe37tkHyjCSG3S0O1AXqVkqjo8mSIZil3BcpIysc/edit?usp=sharing"",""ศูนย์!H45"")"),0)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1645500</v>
      </c>
      <c r="M345" s="972">
        <f t="shared" ca="1" si="155"/>
        <v>1256630</v>
      </c>
      <c r="N345" s="972">
        <f t="shared" ca="1" si="155"/>
        <v>653241</v>
      </c>
      <c r="O345" s="972">
        <f t="shared" ref="O345:O353" ca="1" si="156">IF(L345&gt;0,N345*100/L345,0)</f>
        <v>39.69863263445761</v>
      </c>
      <c r="P345" s="972">
        <f t="shared" ref="P345:P353" ca="1" si="157">IF(M345&gt;0,N345*100/M345,0)</f>
        <v>51.983559201992634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1645500</v>
      </c>
      <c r="M347" s="870">
        <f t="shared" ca="1" si="158"/>
        <v>1256630</v>
      </c>
      <c r="N347" s="870">
        <f t="shared" ca="1" si="158"/>
        <v>653241</v>
      </c>
      <c r="O347" s="870">
        <f t="shared" ca="1" si="156"/>
        <v>39.69863263445761</v>
      </c>
      <c r="P347" s="870">
        <f t="shared" ca="1" si="157"/>
        <v>51.983559201992634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1523900</v>
      </c>
      <c r="M348" s="864">
        <f t="shared" ca="1" si="159"/>
        <v>1135030</v>
      </c>
      <c r="N348" s="864">
        <f t="shared" ca="1" si="159"/>
        <v>531641</v>
      </c>
      <c r="O348" s="864">
        <f t="shared" ca="1" si="156"/>
        <v>34.88686921714023</v>
      </c>
      <c r="P348" s="864">
        <f t="shared" ca="1" si="157"/>
        <v>46.839378694836263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IFERROR(__xludf.DUMMYFUNCTION("IMPORTRANGE(""https://docs.google.com/spreadsheets/d/1MeEWN-I1oV_STSDYn1IFDPWt_1FKiwhDph83XaGc0o0/edit?usp=sharing"",""งบพรบ!EW45"")"),1523900)</f>
        <v>1523900</v>
      </c>
      <c r="M350" s="870">
        <f ca="1">IFERROR(__xludf.DUMMYFUNCTION("IMPORTRANGE(""https://docs.google.com/spreadsheets/d/1MeEWN-I1oV_STSDYn1IFDPWt_1FKiwhDph83XaGc0o0/edit?usp=sharing"",""งบพรบ!FB45"")"),1135030)</f>
        <v>1135030</v>
      </c>
      <c r="N350" s="870">
        <f ca="1">IFERROR(__xludf.DUMMYFUNCTION("IMPORTRANGE(""https://docs.google.com/spreadsheets/d/1MeEWN-I1oV_STSDYn1IFDPWt_1FKiwhDph83XaGc0o0/edit?usp=sharing"",""งบพรบ!FD45"")"),531641)</f>
        <v>531641</v>
      </c>
      <c r="O350" s="870">
        <f t="shared" ca="1" si="156"/>
        <v>34.88686921714023</v>
      </c>
      <c r="P350" s="870">
        <f t="shared" ca="1" si="157"/>
        <v>46.839378694836263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121600</v>
      </c>
      <c r="M351" s="864">
        <f t="shared" ca="1" si="160"/>
        <v>121600</v>
      </c>
      <c r="N351" s="864">
        <f t="shared" ca="1" si="160"/>
        <v>121600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IFERROR(__xludf.DUMMYFUNCTION("IMPORTRANGE(""https://docs.google.com/spreadsheets/d/1MeEWN-I1oV_STSDYn1IFDPWt_1FKiwhDph83XaGc0o0/edit?usp=sharing"",""งบพรบ!EZ45"")"),121600)</f>
        <v>121600</v>
      </c>
      <c r="M353" s="870">
        <f ca="1">IFERROR(__xludf.DUMMYFUNCTION("IMPORTRANGE(""https://docs.google.com/spreadsheets/d/1MeEWN-I1oV_STSDYn1IFDPWt_1FKiwhDph83XaGc0o0/edit?usp=sharing"",""งบพรบ!FC45"")"),121600)</f>
        <v>121600</v>
      </c>
      <c r="N353" s="870">
        <f ca="1">IFERROR(__xludf.DUMMYFUNCTION("IMPORTRANGE(""https://docs.google.com/spreadsheets/d/1MeEWN-I1oV_STSDYn1IFDPWt_1FKiwhDph83XaGc0o0/edit?usp=sharing"",""งบพรบ!FE45"")"),121600)</f>
        <v>121600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IFERROR(__xludf.DUMMYFUNCTION("IMPORTRANGE(""https://docs.google.com/spreadsheets/d/1QqKyyYR6Q21VydFLVH3TRQUabQu_ym0Zz7PgGX0-kHA/edit?usp=sharing"",""แผน!EP45"")"),840)</f>
        <v>840</v>
      </c>
      <c r="J355" s="1186">
        <f ca="1">J362</f>
        <v>1</v>
      </c>
      <c r="K355" s="1187">
        <f ca="1">IF(I355&gt;0,J355*100/I355,0)</f>
        <v>0.11904761904761904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IFERROR(__xludf.DUMMYFUNCTION("IMPORTRANGE(""https://docs.google.com/spreadsheets/d/1XWAQStnk-4SwqDmLtmXYiTMKHgktTP8We1SCoS47DrQ/edit?usp=sharing"",""จัดที่ดิน!W45"")"),504)</f>
        <v>504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IFERROR(__xludf.DUMMYFUNCTION("IMPORTRANGE(""https://docs.google.com/spreadsheets/d/1QqKyyYR6Q21VydFLVH3TRQUabQu_ym0Zz7PgGX0-kHA/edit?usp=sharing"",""แผน!EO45"")"),10400)</f>
        <v>10400</v>
      </c>
      <c r="J359" s="863">
        <f ca="1">IFERROR(__xludf.DUMMYFUNCTION("IMPORTRANGE(""https://docs.google.com/spreadsheets/d/1XWAQStnk-4SwqDmLtmXYiTMKHgktTP8We1SCoS47DrQ/edit?usp=sharing"",""จัดที่ดิน!X45"")"),3831.24)</f>
        <v>3831.24</v>
      </c>
      <c r="K359" s="864">
        <f t="shared" ca="1" si="161"/>
        <v>36.838846153846156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IFERROR(__xludf.DUMMYFUNCTION("IMPORTRANGE(""https://docs.google.com/spreadsheets/d/1QqKyyYR6Q21VydFLVH3TRQUabQu_ym0Zz7PgGX0-kHA/edit?usp=sharing"",""แผน!EP45"")"),840)</f>
        <v>840</v>
      </c>
      <c r="J360" s="863">
        <f ca="1">IFERROR(__xludf.DUMMYFUNCTION("IMPORTRANGE(""https://docs.google.com/spreadsheets/d/1XWAQStnk-4SwqDmLtmXYiTMKHgktTP8We1SCoS47DrQ/edit?usp=sharing"",""จัดที่ดิน!Y45"")"),435)</f>
        <v>435</v>
      </c>
      <c r="K360" s="864">
        <f t="shared" ca="1" si="161"/>
        <v>51.785714285714285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IFERROR(__xludf.DUMMYFUNCTION("IMPORTRANGE(""https://docs.google.com/spreadsheets/d/1XWAQStnk-4SwqDmLtmXYiTMKHgktTP8We1SCoS47DrQ/edit?usp=sharing"",""จัดที่ดิน!Z45"")"),2991.63)</f>
        <v>2991.63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IFERROR(__xludf.DUMMYFUNCTION("IMPORTRANGE(""https://docs.google.com/spreadsheets/d/1QqKyyYR6Q21VydFLVH3TRQUabQu_ym0Zz7PgGX0-kHA/edit?usp=sharing"",""แผน!EP45"")"),840)</f>
        <v>840</v>
      </c>
      <c r="J362" s="863">
        <f ca="1">IFERROR(__xludf.DUMMYFUNCTION("IMPORTRANGE(""https://docs.google.com/spreadsheets/d/1XWAQStnk-4SwqDmLtmXYiTMKHgktTP8We1SCoS47DrQ/edit?usp=sharing"",""จัดที่ดิน!AA45"")"),1)</f>
        <v>1</v>
      </c>
      <c r="K362" s="864">
        <f t="shared" ca="1" si="161"/>
        <v>0.11904761904761904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IFERROR(__xludf.DUMMYFUNCTION("IMPORTRANGE(""https://docs.google.com/spreadsheets/d/1XWAQStnk-4SwqDmLtmXYiTMKHgktTP8We1SCoS47DrQ/edit?usp=sharing"",""จัดที่ดิน!AB45"")"),8.16)</f>
        <v>8.16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1890</v>
      </c>
      <c r="J364" s="1199">
        <f t="shared" ca="1" si="162"/>
        <v>95</v>
      </c>
      <c r="K364" s="1200">
        <f t="shared" ca="1" si="161"/>
        <v>5.0264550264550261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IFERROR(__xludf.DUMMYFUNCTION("IMPORTRANGE(""https://docs.google.com/spreadsheets/d/1QqKyyYR6Q21VydFLVH3TRQUabQu_ym0Zz7PgGX0-kHA/edit?usp=sharing"",""แผน!EJ45"")"),370)</f>
        <v>370</v>
      </c>
      <c r="J365" s="1207">
        <f ca="1">J372</f>
        <v>1</v>
      </c>
      <c r="K365" s="1208">
        <f t="shared" ca="1" si="161"/>
        <v>0.27027027027027029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IFERROR(__xludf.DUMMYFUNCTION("IMPORTRANGE(""https://docs.google.com/spreadsheets/d/1XWAQStnk-4SwqDmLtmXYiTMKHgktTP8We1SCoS47DrQ/edit?usp=sharing"",""จัดที่ดิน!E45"")"),97)</f>
        <v>97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IFERROR(__xludf.DUMMYFUNCTION("IMPORTRANGE(""https://docs.google.com/spreadsheets/d/1QqKyyYR6Q21VydFLVH3TRQUabQu_ym0Zz7PgGX0-kHA/edit?usp=sharing"",""แผน!EI45"")"),3700)</f>
        <v>3700</v>
      </c>
      <c r="J369" s="863">
        <f ca="1">IFERROR(__xludf.DUMMYFUNCTION("IMPORTRANGE(""https://docs.google.com/spreadsheets/d/1XWAQStnk-4SwqDmLtmXYiTMKHgktTP8We1SCoS47DrQ/edit?usp=sharing"",""จัดที่ดิน!F45"")"),1058.29)</f>
        <v>1058.29</v>
      </c>
      <c r="K369" s="864">
        <f t="shared" ca="1" si="163"/>
        <v>28.602432432432433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IFERROR(__xludf.DUMMYFUNCTION("IMPORTRANGE(""https://docs.google.com/spreadsheets/d/1QqKyyYR6Q21VydFLVH3TRQUabQu_ym0Zz7PgGX0-kHA/edit?usp=sharing"",""แผน!EJ45"")"),370)</f>
        <v>370</v>
      </c>
      <c r="J370" s="863">
        <f ca="1">IFERROR(__xludf.DUMMYFUNCTION("IMPORTRANGE(""https://docs.google.com/spreadsheets/d/1XWAQStnk-4SwqDmLtmXYiTMKHgktTP8We1SCoS47DrQ/edit?usp=sharing"",""จัดที่ดิน!G45"")"),42)</f>
        <v>42</v>
      </c>
      <c r="K370" s="864">
        <f t="shared" ca="1" si="163"/>
        <v>11.351351351351351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IFERROR(__xludf.DUMMYFUNCTION("IMPORTRANGE(""https://docs.google.com/spreadsheets/d/1XWAQStnk-4SwqDmLtmXYiTMKHgktTP8We1SCoS47DrQ/edit?usp=sharing"",""จัดที่ดิน!H45"")"),258.81)</f>
        <v>258.81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IFERROR(__xludf.DUMMYFUNCTION("IMPORTRANGE(""https://docs.google.com/spreadsheets/d/1QqKyyYR6Q21VydFLVH3TRQUabQu_ym0Zz7PgGX0-kHA/edit?usp=sharing"",""แผน!EJ45"")"),370)</f>
        <v>370</v>
      </c>
      <c r="J372" s="863">
        <f ca="1">IFERROR(__xludf.DUMMYFUNCTION("IMPORTRANGE(""https://docs.google.com/spreadsheets/d/1XWAQStnk-4SwqDmLtmXYiTMKHgktTP8We1SCoS47DrQ/edit?usp=sharing"",""จัดที่ดิน!I45"")"),1)</f>
        <v>1</v>
      </c>
      <c r="K372" s="864">
        <f t="shared" ca="1" si="163"/>
        <v>0.27027027027027029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IFERROR(__xludf.DUMMYFUNCTION("IMPORTRANGE(""https://docs.google.com/spreadsheets/d/1XWAQStnk-4SwqDmLtmXYiTMKHgktTP8We1SCoS47DrQ/edit?usp=sharing"",""จัดที่ดิน!J45"")"),8.16)</f>
        <v>8.16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IFERROR(__xludf.DUMMYFUNCTION("IMPORTRANGE(""https://docs.google.com/spreadsheets/d/1QqKyyYR6Q21VydFLVH3TRQUabQu_ym0Zz7PgGX0-kHA/edit?usp=sharing"",""แผน!EU45"")"),1520)</f>
        <v>1520</v>
      </c>
      <c r="J374" s="1207">
        <f ca="1">J381</f>
        <v>94</v>
      </c>
      <c r="K374" s="1208">
        <f t="shared" ca="1" si="163"/>
        <v>6.1842105263157894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IFERROR(__xludf.DUMMYFUNCTION("IMPORTRANGE(""https://docs.google.com/spreadsheets/d/1XWAQStnk-4SwqDmLtmXYiTMKHgktTP8We1SCoS47DrQ/edit?usp=sharing"",""จัดที่ดิน!AH45"")"),407)</f>
        <v>407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IFERROR(__xludf.DUMMYFUNCTION("IMPORTRANGE(""https://docs.google.com/spreadsheets/d/1QqKyyYR6Q21VydFLVH3TRQUabQu_ym0Zz7PgGX0-kHA/edit?usp=sharing"",""แผน!ET45"")"),6700)</f>
        <v>6700</v>
      </c>
      <c r="J378" s="863">
        <f ca="1">IFERROR(__xludf.DUMMYFUNCTION("IMPORTRANGE(""https://docs.google.com/spreadsheets/d/1XWAQStnk-4SwqDmLtmXYiTMKHgktTP8We1SCoS47DrQ/edit?usp=sharing"",""จัดที่ดิน!AI45"")"),2772.95)</f>
        <v>2772.95</v>
      </c>
      <c r="K378" s="864">
        <f t="shared" ca="1" si="164"/>
        <v>41.387313432835818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IFERROR(__xludf.DUMMYFUNCTION("IMPORTRANGE(""https://docs.google.com/spreadsheets/d/1QqKyyYR6Q21VydFLVH3TRQUabQu_ym0Zz7PgGX0-kHA/edit?usp=sharing"",""แผน!EU45"")"),1520)</f>
        <v>1520</v>
      </c>
      <c r="J379" s="863">
        <f ca="1">IFERROR(__xludf.DUMMYFUNCTION("IMPORTRANGE(""https://docs.google.com/spreadsheets/d/1XWAQStnk-4SwqDmLtmXYiTMKHgktTP8We1SCoS47DrQ/edit?usp=sharing"",""จัดที่ดิน!AJ45"")"),548)</f>
        <v>548</v>
      </c>
      <c r="K379" s="864">
        <f t="shared" ca="1" si="164"/>
        <v>36.05263157894737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IFERROR(__xludf.DUMMYFUNCTION("IMPORTRANGE(""https://docs.google.com/spreadsheets/d/1XWAQStnk-4SwqDmLtmXYiTMKHgktTP8We1SCoS47DrQ/edit?usp=sharing"",""จัดที่ดิน!AK45"")"),4540.11)</f>
        <v>4540.1099999999997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IFERROR(__xludf.DUMMYFUNCTION("IMPORTRANGE(""https://docs.google.com/spreadsheets/d/1QqKyyYR6Q21VydFLVH3TRQUabQu_ym0Zz7PgGX0-kHA/edit?usp=sharing"",""แผน!EU45"")"),1520)</f>
        <v>1520</v>
      </c>
      <c r="J381" s="863">
        <f ca="1">IFERROR(__xludf.DUMMYFUNCTION("IMPORTRANGE(""https://docs.google.com/spreadsheets/d/1XWAQStnk-4SwqDmLtmXYiTMKHgktTP8We1SCoS47DrQ/edit?usp=sharing"",""จัดที่ดิน!AL45"")"),94)</f>
        <v>94</v>
      </c>
      <c r="K381" s="864">
        <f t="shared" ca="1" si="164"/>
        <v>6.1842105263157894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IFERROR(__xludf.DUMMYFUNCTION("IMPORTRANGE(""https://docs.google.com/spreadsheets/d/1XWAQStnk-4SwqDmLtmXYiTMKHgktTP8We1SCoS47DrQ/edit?usp=sharing"",""จัดที่ดิน!AM45"")"),1006.72)</f>
        <v>1006.72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IFERROR(__xludf.DUMMYFUNCTION("IMPORTRANGE(""https://docs.google.com/spreadsheets/d/1QqKyyYR6Q21VydFLVH3TRQUabQu_ym0Zz7PgGX0-kHA/edit?usp=sharing"",""แผน!EW45"")"),150)</f>
        <v>150</v>
      </c>
      <c r="J385" s="1117">
        <f ca="1">IFERROR(__xludf.DUMMYFUNCTION("IMPORTRANGE(""https://docs.google.com/spreadsheets/d/1XWAQStnk-4SwqDmLtmXYiTMKHgktTP8We1SCoS47DrQ/edit?usp=sharing"",""จัดที่ดิน!AP45"")"),0)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IFERROR(__xludf.DUMMYFUNCTION("IMPORTRANGE(""https://docs.google.com/spreadsheets/d/1MeEWN-I1oV_STSDYn1IFDPWt_1FKiwhDph83XaGc0o0/edit?usp=sharing"",""งบพรบ!FG45"")"),0)</f>
        <v>0</v>
      </c>
      <c r="M394" s="870">
        <f ca="1">IFERROR(__xludf.DUMMYFUNCTION("IMPORTRANGE(""https://docs.google.com/spreadsheets/d/1MeEWN-I1oV_STSDYn1IFDPWt_1FKiwhDph83XaGc0o0/edit?usp=sharing"",""งบพรบ!FL45"")"),0)</f>
        <v>0</v>
      </c>
      <c r="N394" s="870">
        <f ca="1">IFERROR(__xludf.DUMMYFUNCTION("IMPORTRANGE(""https://docs.google.com/spreadsheets/d/1MeEWN-I1oV_STSDYn1IFDPWt_1FKiwhDph83XaGc0o0/edit?usp=sharing"",""งบพรบ!FN45"")"),0)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IFERROR(__xludf.DUMMYFUNCTION("IMPORTRANGE(""https://docs.google.com/spreadsheets/d/1MeEWN-I1oV_STSDYn1IFDPWt_1FKiwhDph83XaGc0o0/edit?usp=sharing"",""งบพรบ!FJ45"")"),0)</f>
        <v>0</v>
      </c>
      <c r="M397" s="870">
        <f ca="1">IFERROR(__xludf.DUMMYFUNCTION("IMPORTRANGE(""https://docs.google.com/spreadsheets/d/1MeEWN-I1oV_STSDYn1IFDPWt_1FKiwhDph83XaGc0o0/edit?usp=sharing"",""งบพรบ!FM45"")"),0)</f>
        <v>0</v>
      </c>
      <c r="N397" s="870">
        <f ca="1">IFERROR(__xludf.DUMMYFUNCTION("IMPORTRANGE(""https://docs.google.com/spreadsheets/d/1MeEWN-I1oV_STSDYn1IFDPWt_1FKiwhDph83XaGc0o0/edit?usp=sharing"",""งบพรบ!FO45"")"),0)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IFERROR(__xludf.DUMMYFUNCTION("IMPORTRANGE(""https://docs.google.com/spreadsheets/d/1MeEWN-I1oV_STSDYn1IFDPWt_1FKiwhDph83XaGc0o0/edit?usp=sharing"",""งบพรบ!FQ45"")"),0)</f>
        <v>0</v>
      </c>
      <c r="M407" s="870">
        <f ca="1">IFERROR(__xludf.DUMMYFUNCTION("IMPORTRANGE(""https://docs.google.com/spreadsheets/d/1MeEWN-I1oV_STSDYn1IFDPWt_1FKiwhDph83XaGc0o0/edit?usp=sharing"",""งบพรบ!FV45"")"),0)</f>
        <v>0</v>
      </c>
      <c r="N407" s="870">
        <f ca="1">IFERROR(__xludf.DUMMYFUNCTION("IMPORTRANGE(""https://docs.google.com/spreadsheets/d/1MeEWN-I1oV_STSDYn1IFDPWt_1FKiwhDph83XaGc0o0/edit?usp=sharing"",""งบพรบ!FX45"")"),0)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IFERROR(__xludf.DUMMYFUNCTION("IMPORTRANGE(""https://docs.google.com/spreadsheets/d/1MeEWN-I1oV_STSDYn1IFDPWt_1FKiwhDph83XaGc0o0/edit?usp=sharing"",""งบพรบ!FT45"")"),0)</f>
        <v>0</v>
      </c>
      <c r="M410" s="870">
        <f ca="1">IFERROR(__xludf.DUMMYFUNCTION("IMPORTRANGE(""https://docs.google.com/spreadsheets/d/1MeEWN-I1oV_STSDYn1IFDPWt_1FKiwhDph83XaGc0o0/edit?usp=sharing"",""งบพรบ!FW45"")"),0)</f>
        <v>0</v>
      </c>
      <c r="N410" s="870">
        <f ca="1">IFERROR(__xludf.DUMMYFUNCTION("IMPORTRANGE(""https://docs.google.com/spreadsheets/d/1MeEWN-I1oV_STSDYn1IFDPWt_1FKiwhDph83XaGc0o0/edit?usp=sharing"",""งบพรบ!FY45"")"),0)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2822655</v>
      </c>
      <c r="M414" s="1257">
        <f t="shared" si="181"/>
        <v>0</v>
      </c>
      <c r="N414" s="1257">
        <f t="shared" si="181"/>
        <v>756465.11</v>
      </c>
      <c r="O414" s="1257">
        <f ca="1">IF(L414&gt;0,N414*100/L414,0)</f>
        <v>26.799772200286611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103360</v>
      </c>
      <c r="M419" s="972">
        <f t="shared" si="184"/>
        <v>0</v>
      </c>
      <c r="N419" s="972">
        <f t="shared" si="184"/>
        <v>41405</v>
      </c>
      <c r="O419" s="972">
        <f t="shared" ref="O419:O424" ca="1" si="185">IF(L419&gt;0,N419*100/L419,0)</f>
        <v>40.059017027863774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103360</v>
      </c>
      <c r="M421" s="870">
        <f t="shared" si="187"/>
        <v>0</v>
      </c>
      <c r="N421" s="870">
        <f t="shared" si="187"/>
        <v>41405</v>
      </c>
      <c r="O421" s="870">
        <f t="shared" ca="1" si="185"/>
        <v>40.059017027863774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103360</v>
      </c>
      <c r="M422" s="864">
        <f t="shared" si="188"/>
        <v>0</v>
      </c>
      <c r="N422" s="864">
        <f t="shared" si="188"/>
        <v>41405</v>
      </c>
      <c r="O422" s="864">
        <f t="shared" ca="1" si="185"/>
        <v>40.059017027863774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IFERROR(__xludf.DUMMYFUNCTION("IMPORTRANGE(""https://docs.google.com/spreadsheets/d/1QqKyyYR6Q21VydFLVH3TRQUabQu_ym0Zz7PgGX0-kHA/edit?usp=sharing"",""แผน!EY45"")"),103360)</f>
        <v>103360</v>
      </c>
      <c r="M424" s="870">
        <v>0</v>
      </c>
      <c r="N424" s="870">
        <f>N425+N426+N427+N428</f>
        <v>41405</v>
      </c>
      <c r="O424" s="870">
        <f t="shared" ca="1" si="185"/>
        <v>40.059017027863774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13460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27945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IFERROR(__xludf.DUMMYFUNCTION("IMPORTRANGE(""https://docs.google.com/spreadsheets/d/1QqKyyYR6Q21VydFLVH3TRQUabQu_ym0Zz7PgGX0-kHA/edit?usp=sharing"",""แผน!FB45"")"),0)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IFERROR(__xludf.DUMMYFUNCTION("IMPORTRANGE(""https://docs.google.com/spreadsheets/d/1QqKyyYR6Q21VydFLVH3TRQUabQu_ym0Zz7PgGX0-kHA/edit?usp=sharing"",""แผน!FC45"")"),20)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IFERROR(__xludf.DUMMYFUNCTION("IMPORTRANGE(""https://docs.google.com/spreadsheets/d/1QqKyyYR6Q21VydFLVH3TRQUabQu_ym0Zz7PgGX0-kHA/edit?usp=sharing"",""แผน!FD45"")"),0)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IFERROR(__xludf.DUMMYFUNCTION("IMPORTRANGE(""https://docs.google.com/spreadsheets/d/1QqKyyYR6Q21VydFLVH3TRQUabQu_ym0Zz7PgGX0-kHA/edit?usp=sharing"",""แผน!FE45"")"),0)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IFERROR(__xludf.DUMMYFUNCTION("IMPORTRANGE(""https://docs.google.com/spreadsheets/d/1QqKyyYR6Q21VydFLVH3TRQUabQu_ym0Zz7PgGX0-kHA/edit?usp=sharing"",""แผน!FF45"")"),20)</f>
        <v>20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IFERROR(__xludf.DUMMYFUNCTION("IMPORTRANGE(""https://docs.google.com/spreadsheets/d/1QqKyyYR6Q21VydFLVH3TRQUabQu_ym0Zz7PgGX0-kHA/edit?usp=sharing"",""แผน!FG45"")"),1)</f>
        <v>1</v>
      </c>
      <c r="J440" s="992">
        <v>0</v>
      </c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IFERROR(__xludf.DUMMYFUNCTION("IMPORTRANGE(""https://docs.google.com/spreadsheets/d/1QqKyyYR6Q21VydFLVH3TRQUabQu_ym0Zz7PgGX0-kHA/edit?usp=sharing"",""แผน!FH45"")"),0)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70</v>
      </c>
      <c r="J442" s="1285">
        <f t="shared" si="195"/>
        <v>48</v>
      </c>
      <c r="K442" s="1286">
        <f t="shared" ca="1" si="194"/>
        <v>68.571428571428569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180</v>
      </c>
      <c r="J443" s="1270">
        <f t="shared" si="196"/>
        <v>136</v>
      </c>
      <c r="K443" s="1271">
        <f t="shared" ca="1" si="194"/>
        <v>75.555555555555557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468800</v>
      </c>
      <c r="M444" s="1000">
        <f t="shared" si="197"/>
        <v>0</v>
      </c>
      <c r="N444" s="1000">
        <f t="shared" si="197"/>
        <v>164873</v>
      </c>
      <c r="O444" s="1000">
        <f t="shared" ref="O444:O449" ca="1" si="198">IF(L444&gt;0,N444*100/L444,0)</f>
        <v>35.169155290102388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468800</v>
      </c>
      <c r="M446" s="870">
        <f t="shared" si="200"/>
        <v>0</v>
      </c>
      <c r="N446" s="870">
        <f t="shared" si="200"/>
        <v>164873</v>
      </c>
      <c r="O446" s="870">
        <f t="shared" ca="1" si="198"/>
        <v>35.169155290102388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468800</v>
      </c>
      <c r="M447" s="864">
        <f t="shared" si="201"/>
        <v>0</v>
      </c>
      <c r="N447" s="864">
        <f t="shared" si="201"/>
        <v>164873</v>
      </c>
      <c r="O447" s="864">
        <f t="shared" ca="1" si="198"/>
        <v>35.169155290102388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IFERROR(__xludf.DUMMYFUNCTION("IMPORTRANGE(""https://docs.google.com/spreadsheets/d/1QqKyyYR6Q21VydFLVH3TRQUabQu_ym0Zz7PgGX0-kHA/edit?usp=sharing"",""แผน!FJ45"")"),468800)</f>
        <v>468800</v>
      </c>
      <c r="M449" s="870">
        <v>0</v>
      </c>
      <c r="N449" s="870">
        <f>N450+N451+N452+N453</f>
        <v>164873</v>
      </c>
      <c r="O449" s="870">
        <f t="shared" ca="1" si="198"/>
        <v>35.169155290102388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90763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22110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IFERROR(__xludf.DUMMYFUNCTION("IMPORTRANGE(""https://docs.google.com/spreadsheets/d/1QqKyyYR6Q21VydFLVH3TRQUabQu_ym0Zz7PgGX0-kHA/edit?usp=sharing"",""แผน!FM45"")"),0)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IFERROR(__xludf.DUMMYFUNCTION("IMPORTRANGE(""https://docs.google.com/spreadsheets/d/1QqKyyYR6Q21VydFLVH3TRQUabQu_ym0Zz7PgGX0-kHA/edit?usp=sharing"",""แผน!FN45"")"),70)</f>
        <v>70</v>
      </c>
      <c r="J460" s="992">
        <v>48</v>
      </c>
      <c r="K460" s="864">
        <f ca="1">IF(I460&gt;0,J460*100/I460,0)</f>
        <v>68.571428571428569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IFERROR(__xludf.DUMMYFUNCTION("IMPORTRANGE(""https://docs.google.com/spreadsheets/d/1QqKyyYR6Q21VydFLVH3TRQUabQu_ym0Zz7PgGX0-kHA/edit?usp=sharing"",""แผน!FO45"")"),180)</f>
        <v>180</v>
      </c>
      <c r="J462" s="992">
        <v>136</v>
      </c>
      <c r="K462" s="864">
        <f ca="1">IF(I462&gt;0,J462*100/I462,0)</f>
        <v>75.555555555555557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IFERROR(__xludf.DUMMYFUNCTION("IMPORTRANGE(""https://docs.google.com/spreadsheets/d/1QqKyyYR6Q21VydFLVH3TRQUabQu_ym0Zz7PgGX0-kHA/edit?usp=sharing"",""แผน!FO45"")"),180)</f>
        <v>180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IFERROR(__xludf.DUMMYFUNCTION("IMPORTRANGE(""https://docs.google.com/spreadsheets/d/1QqKyyYR6Q21VydFLVH3TRQUabQu_ym0Zz7PgGX0-kHA/edit?usp=sharing"",""แผน!FN45"")"),70)</f>
        <v>70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IFERROR(__xludf.DUMMYFUNCTION("IMPORTRANGE(""https://docs.google.com/spreadsheets/d/1QqKyyYR6Q21VydFLVH3TRQUabQu_ym0Zz7PgGX0-kHA/edit?usp=sharing"",""แผน!FX45"")"),61)</f>
        <v>61</v>
      </c>
      <c r="J465" s="1285">
        <f>J485+J489+J492</f>
        <v>0</v>
      </c>
      <c r="K465" s="1286">
        <f t="shared" ref="K465:K466" ca="1" si="205">IF(I465&gt;0,J465*100/I465,0)</f>
        <v>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IFERROR(__xludf.DUMMYFUNCTION("IMPORTRANGE(""https://docs.google.com/spreadsheets/d/1QqKyyYR6Q21VydFLVH3TRQUabQu_ym0Zz7PgGX0-kHA/edit?usp=sharing"",""แผน!FW45"")"),600)</f>
        <v>600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492543</v>
      </c>
      <c r="M467" s="1000">
        <f t="shared" si="206"/>
        <v>0</v>
      </c>
      <c r="N467" s="1000">
        <f t="shared" si="206"/>
        <v>32850</v>
      </c>
      <c r="O467" s="1000">
        <f t="shared" ref="O467:O472" ca="1" si="207">IF(L467&gt;0,N467*100/L467,0)</f>
        <v>6.6694684525005936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492543</v>
      </c>
      <c r="M469" s="870">
        <f t="shared" si="209"/>
        <v>0</v>
      </c>
      <c r="N469" s="870">
        <f t="shared" si="209"/>
        <v>32850</v>
      </c>
      <c r="O469" s="870">
        <f t="shared" ca="1" si="207"/>
        <v>6.6694684525005936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492543</v>
      </c>
      <c r="M470" s="864">
        <f t="shared" si="210"/>
        <v>0</v>
      </c>
      <c r="N470" s="864">
        <f t="shared" si="210"/>
        <v>32850</v>
      </c>
      <c r="O470" s="864">
        <f t="shared" ca="1" si="207"/>
        <v>6.6694684525005936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IFERROR(__xludf.DUMMYFUNCTION("IMPORTRANGE(""https://docs.google.com/spreadsheets/d/1QqKyyYR6Q21VydFLVH3TRQUabQu_ym0Zz7PgGX0-kHA/edit?usp=sharing"",""แผน!FS45"")"),492543)</f>
        <v>492543</v>
      </c>
      <c r="M472" s="870">
        <v>0</v>
      </c>
      <c r="N472" s="870">
        <f>N473+N474+N475+N476</f>
        <v>32850</v>
      </c>
      <c r="O472" s="870">
        <f t="shared" ca="1" si="207"/>
        <v>6.6694684525005936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32850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IFERROR(__xludf.DUMMYFUNCTION("IMPORTRANGE(""https://docs.google.com/spreadsheets/d/1QqKyyYR6Q21VydFLVH3TRQUabQu_ym0Zz7PgGX0-kHA/edit?usp=sharing"",""แผน!FV45"")"),0)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IFERROR(__xludf.DUMMYFUNCTION("IMPORTRANGE(""https://docs.google.com/spreadsheets/d/1QqKyyYR6Q21VydFLVH3TRQUabQu_ym0Zz7PgGX0-kHA/edit?usp=sharing"",""แผน!FY45"")"),540)</f>
        <v>540</v>
      </c>
      <c r="J483" s="992">
        <v>0</v>
      </c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IFERROR(__xludf.DUMMYFUNCTION("IMPORTRANGE(""https://docs.google.com/spreadsheets/d/1QqKyyYR6Q21VydFLVH3TRQUabQu_ym0Zz7PgGX0-kHA/edit?usp=sharing"",""แผน!FZ45"")"),54)</f>
        <v>54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IFERROR(__xludf.DUMMYFUNCTION("IMPORTRANGE(""https://docs.google.com/spreadsheets/d/1QqKyyYR6Q21VydFLVH3TRQUabQu_ym0Zz7PgGX0-kHA/edit?usp=sharing"",""แผน!GA45"")"),60)</f>
        <v>60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IFERROR(__xludf.DUMMYFUNCTION("IMPORTRANGE(""https://docs.google.com/spreadsheets/d/1QqKyyYR6Q21VydFLVH3TRQUabQu_ym0Zz7PgGX0-kHA/edit?usp=sharing"",""แผน!GB45"")"),6)</f>
        <v>6</v>
      </c>
      <c r="J489" s="992">
        <v>0</v>
      </c>
      <c r="K489" s="864">
        <f ca="1">IF(I489&gt;0,J489*100/I489,0)</f>
        <v>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IFERROR(__xludf.DUMMYFUNCTION("IMPORTRANGE(""https://docs.google.com/spreadsheets/d/1QqKyyYR6Q21VydFLVH3TRQUabQu_ym0Zz7PgGX0-kHA/edit?usp=sharing"",""แผน!GC45"")"),1)</f>
        <v>1</v>
      </c>
      <c r="J492" s="992">
        <v>0</v>
      </c>
      <c r="K492" s="864">
        <f ca="1">IF(I492&gt;0,J492*100/I492,0)</f>
        <v>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IFERROR(__xludf.DUMMYFUNCTION("IMPORTRANGE(""https://docs.google.com/spreadsheets/d/1QqKyyYR6Q21VydFLVH3TRQUabQu_ym0Zz7PgGX0-kHA/edit?usp=sharing"",""แผน!FY45"")"),540)</f>
        <v>540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IFERROR(__xludf.DUMMYFUNCTION("IMPORTRANGE(""https://docs.google.com/spreadsheets/d/1QqKyyYR6Q21VydFLVH3TRQUabQu_ym0Zz7PgGX0-kHA/edit?usp=sharing"",""แผน!GA45"")"),60)</f>
        <v>60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IFERROR(__xludf.DUMMYFUNCTION("IMPORTRANGE(""https://docs.google.com/spreadsheets/d/1QqKyyYR6Q21VydFLVH3TRQUabQu_ym0Zz7PgGX0-kHA/edit?usp=sharing"",""แผน!GQ45"")"),0)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IFERROR(__xludf.DUMMYFUNCTION("IMPORTRANGE(""https://docs.google.com/spreadsheets/d/1QqKyyYR6Q21VydFLVH3TRQUabQu_ym0Zz7PgGX0-kHA/edit?usp=sharing"",""แผน!GT45"")"),0)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IFERROR(__xludf.DUMMYFUNCTION("IMPORTRANGE(""https://docs.google.com/spreadsheets/d/1QqKyyYR6Q21VydFLVH3TRQUabQu_ym0Zz7PgGX0-kHA/edit?usp=sharing"",""แผน!GU45"")"),0)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IFERROR(__xludf.DUMMYFUNCTION("IMPORTRANGE(""https://docs.google.com/spreadsheets/d/1QqKyyYR6Q21VydFLVH3TRQUabQu_ym0Zz7PgGX0-kHA/edit?usp=sharing"",""แผน!GV45"")"),0)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IFERROR(__xludf.DUMMYFUNCTION("IMPORTRANGE(""https://docs.google.com/spreadsheets/d/1QqKyyYR6Q21VydFLVH3TRQUabQu_ym0Zz7PgGX0-kHA/edit?usp=sharing"",""แผน!GW45"")"),0)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IFERROR(__xludf.DUMMYFUNCTION("IMPORTRANGE(""https://docs.google.com/spreadsheets/d/1QqKyyYR6Q21VydFLVH3TRQUabQu_ym0Zz7PgGX0-kHA/edit?usp=sharing"",""แผน!GX45"")"),0)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IFERROR(__xludf.DUMMYFUNCTION("IMPORTRANGE(""https://docs.google.com/spreadsheets/d/1QqKyyYR6Q21VydFLVH3TRQUabQu_ym0Zz7PgGX0-kHA/edit?usp=sharing"",""แผน!GY45"")"),0)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IFERROR(__xludf.DUMMYFUNCTION("IMPORTRANGE(""https://docs.google.com/spreadsheets/d/1QqKyyYR6Q21VydFLVH3TRQUabQu_ym0Zz7PgGX0-kHA/edit?usp=sharing"",""แผน!GZ45"")"),0)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59640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402462</v>
      </c>
      <c r="M544" s="972">
        <f t="shared" si="236"/>
        <v>0</v>
      </c>
      <c r="N544" s="972">
        <f t="shared" si="236"/>
        <v>163232</v>
      </c>
      <c r="O544" s="972">
        <f t="shared" ref="O544:O549" ca="1" si="237">IF(L544&gt;0,N544*100/L544,0)</f>
        <v>40.558363274048233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402462</v>
      </c>
      <c r="M546" s="870">
        <f t="shared" si="240"/>
        <v>0</v>
      </c>
      <c r="N546" s="870">
        <f t="shared" si="240"/>
        <v>163232</v>
      </c>
      <c r="O546" s="870">
        <f t="shared" ca="1" si="237"/>
        <v>40.558363274048233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402462</v>
      </c>
      <c r="M547" s="864">
        <f t="shared" si="241"/>
        <v>0</v>
      </c>
      <c r="N547" s="864">
        <f t="shared" si="241"/>
        <v>163232</v>
      </c>
      <c r="O547" s="864">
        <f t="shared" ca="1" si="237"/>
        <v>40.558363274048233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IFERROR(__xludf.DUMMYFUNCTION("IMPORTRANGE(""https://docs.google.com/spreadsheets/d/1QqKyyYR6Q21VydFLVH3TRQUabQu_ym0Zz7PgGX0-kHA/edit?usp=sharing"",""แผน!HB45"")"),402462)</f>
        <v>402462</v>
      </c>
      <c r="M549" s="870">
        <v>0</v>
      </c>
      <c r="N549" s="870">
        <f>N550+N551+N552+N553+N554</f>
        <v>163232</v>
      </c>
      <c r="O549" s="870">
        <f t="shared" ca="1" si="237"/>
        <v>40.558363274048233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111232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IFERROR(__xludf.DUMMYFUNCTION("IMPORTRANGE(""https://docs.google.com/spreadsheets/d/1QqKyyYR6Q21VydFLVH3TRQUabQu_ym0Zz7PgGX0-kHA/edit?usp=sharing"",""แผน!HF45"")"),0)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59640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IFERROR(__xludf.DUMMYFUNCTION("IMPORTRANGE(""https://docs.google.com/spreadsheets/d/1QqKyyYR6Q21VydFLVH3TRQUabQu_ym0Zz7PgGX0-kHA/edit?usp=sharing"",""แผน!HH45"")"),59640)</f>
        <v>59640</v>
      </c>
      <c r="J560" s="998">
        <f t="shared" ref="J560:J561" si="247">J562+J564+J566</f>
        <v>59504.29</v>
      </c>
      <c r="K560" s="1142">
        <f t="shared" ca="1" si="246"/>
        <v>99.772451374916159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IFERROR(__xludf.DUMMYFUNCTION("IMPORTRANGE(""https://docs.google.com/spreadsheets/d/1QqKyyYR6Q21VydFLVH3TRQUabQu_ym0Zz7PgGX0-kHA/edit?usp=sharing"",""แผน!HG45"")"),7355)</f>
        <v>7355</v>
      </c>
      <c r="J561" s="998">
        <f t="shared" si="247"/>
        <v>7338</v>
      </c>
      <c r="K561" s="1142">
        <f t="shared" ca="1" si="246"/>
        <v>99.768864717878998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47179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6298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11083.93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885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1241.3599999999999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155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IFERROR(__xludf.DUMMYFUNCTION("IMPORTRANGE(""https://docs.google.com/spreadsheets/d/1QqKyyYR6Q21VydFLVH3TRQUabQu_ym0Zz7PgGX0-kHA/edit?usp=sharing"",""แผน!HH45"")"),59640)</f>
        <v>59640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IFERROR(__xludf.DUMMYFUNCTION("IMPORTRANGE(""https://docs.google.com/spreadsheets/d/1QqKyyYR6Q21VydFLVH3TRQUabQu_ym0Zz7PgGX0-kHA/edit?usp=sharing"",""แผน!HG45"")"),7355)</f>
        <v>7355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/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/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/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/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/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/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IFERROR(__xludf.DUMMYFUNCTION("IMPORTRANGE(""https://docs.google.com/spreadsheets/d/1QqKyyYR6Q21VydFLVH3TRQUabQu_ym0Zz7PgGX0-kHA/edit?usp=sharing"",""แผน!HH45"")"),59640)</f>
        <v>59640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IFERROR(__xludf.DUMMYFUNCTION("IMPORTRANGE(""https://docs.google.com/spreadsheets/d/1QqKyyYR6Q21VydFLVH3TRQUabQu_ym0Zz7PgGX0-kHA/edit?usp=sharing"",""แผน!HG45"")"),7355)</f>
        <v>7355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/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/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/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/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/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/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/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/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1220.5999999999999</v>
      </c>
      <c r="J592" s="1350">
        <f t="shared" si="253"/>
        <v>632</v>
      </c>
      <c r="K592" s="1351">
        <f t="shared" ref="K592:K594" ca="1" si="254">IF(I592&gt;0,J592*100/I592,0)</f>
        <v>51.777814189742756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IFERROR(__xludf.DUMMYFUNCTION("IMPORTRANGE(""https://docs.google.com/spreadsheets/d/1QqKyyYR6Q21VydFLVH3TRQUabQu_ym0Zz7PgGX0-kHA/edit?usp=sharing"",""แผน!HJ45"")"),1220.6)</f>
        <v>1220.5999999999999</v>
      </c>
      <c r="J593" s="998">
        <f t="shared" ref="J593:J594" si="255">J595+J603+J609</f>
        <v>632</v>
      </c>
      <c r="K593" s="1142">
        <f t="shared" ca="1" si="254"/>
        <v>51.777814189742756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IFERROR(__xludf.DUMMYFUNCTION("IMPORTRANGE(""https://docs.google.com/spreadsheets/d/1QqKyyYR6Q21VydFLVH3TRQUabQu_ym0Zz7PgGX0-kHA/edit?usp=sharing"",""แผน!HI45"")"),107)</f>
        <v>107</v>
      </c>
      <c r="J594" s="998">
        <f t="shared" si="255"/>
        <v>59</v>
      </c>
      <c r="K594" s="1142">
        <f t="shared" ca="1" si="254"/>
        <v>55.140186915887853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619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58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619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58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13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1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13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1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IFERROR(__xludf.DUMMYFUNCTION("IMPORTRANGE(""https://docs.google.com/spreadsheets/d/1QqKyyYR6Q21VydFLVH3TRQUabQu_ym0Zz7PgGX0-kHA/edit?usp=sharing"",""แผน!HL45"")"),24)</f>
        <v>24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IFERROR(__xludf.DUMMYFUNCTION("IMPORTRANGE(""https://docs.google.com/spreadsheets/d/1QqKyyYR6Q21VydFLVH3TRQUabQu_ym0Zz7PgGX0-kHA/edit?usp=sharing"",""แผน!HK45"")"),1)</f>
        <v>1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/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/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/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/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/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/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1200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1155630</v>
      </c>
      <c r="M629" s="1000">
        <f t="shared" si="263"/>
        <v>0</v>
      </c>
      <c r="N629" s="1000">
        <f t="shared" si="263"/>
        <v>212865</v>
      </c>
      <c r="O629" s="1000">
        <f t="shared" ref="O629:O634" ca="1" si="264">IF(L629&gt;0,N629*100/L629,0)</f>
        <v>18.41982295371356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1155630</v>
      </c>
      <c r="M631" s="870">
        <f t="shared" si="266"/>
        <v>0</v>
      </c>
      <c r="N631" s="870">
        <f t="shared" si="266"/>
        <v>212865</v>
      </c>
      <c r="O631" s="870">
        <f t="shared" ca="1" si="264"/>
        <v>18.41982295371356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1155630</v>
      </c>
      <c r="M632" s="864">
        <f t="shared" si="267"/>
        <v>0</v>
      </c>
      <c r="N632" s="864">
        <f t="shared" si="267"/>
        <v>212865</v>
      </c>
      <c r="O632" s="864">
        <f t="shared" ca="1" si="264"/>
        <v>18.41982295371356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IFERROR(__xludf.DUMMYFUNCTION("IMPORTRANGE(""https://docs.google.com/spreadsheets/d/1QqKyyYR6Q21VydFLVH3TRQUabQu_ym0Zz7PgGX0-kHA/edit?usp=sharing"",""แผน!HN45"")"),1155630)</f>
        <v>1155630</v>
      </c>
      <c r="M634" s="870">
        <v>0</v>
      </c>
      <c r="N634" s="870">
        <f>N635+N636+N637+N638</f>
        <v>212865</v>
      </c>
      <c r="O634" s="870">
        <f t="shared" ca="1" si="264"/>
        <v>18.41982295371356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104000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108865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IFERROR(__xludf.DUMMYFUNCTION("IMPORTRANGE(""https://docs.google.com/spreadsheets/d/1QqKyyYR6Q21VydFLVH3TRQUabQu_ym0Zz7PgGX0-kHA/edit?usp=sharing"",""แผน!HQ45"")"),0)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IFERROR(__xludf.DUMMYFUNCTION("IMPORTRANGE(""https://docs.google.com/spreadsheets/d/1QqKyyYR6Q21VydFLVH3TRQUabQu_ym0Zz7PgGX0-kHA/edit?usp=sharing"",""แผน!HR45"")"),0)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IFERROR(__xludf.DUMMYFUNCTION("IMPORTRANGE(""https://docs.google.com/spreadsheets/d/1QqKyyYR6Q21VydFLVH3TRQUabQu_ym0Zz7PgGX0-kHA/edit?usp=sharing"",""แผน!HR45"")"),0)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IFERROR(__xludf.DUMMYFUNCTION("IMPORTRANGE(""https://docs.google.com/spreadsheets/d/1XWAQStnk-4SwqDmLtmXYiTMKHgktTP8We1SCoS47DrQ/edit?usp=sharing"",""จัดที่ดิน!AS45"")"),550)</f>
        <v>550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IFERROR(__xludf.DUMMYFUNCTION("IMPORTRANGE(""https://docs.google.com/spreadsheets/d/1XWAQStnk-4SwqDmLtmXYiTMKHgktTP8We1SCoS47DrQ/edit?usp=sharing"",""จัดที่ดิน!AT45"")"),267.33)</f>
        <v>267.33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IFERROR(__xludf.DUMMYFUNCTION("IMPORTRANGE(""https://docs.google.com/spreadsheets/d/1QqKyyYR6Q21VydFLVH3TRQUabQu_ym0Zz7PgGX0-kHA/edit?usp=sharing"",""แผน!HS45"")"),1200)</f>
        <v>1200</v>
      </c>
      <c r="J647" s="863">
        <f ca="1">IFERROR(__xludf.DUMMYFUNCTION("IMPORTRANGE(""https://docs.google.com/spreadsheets/d/1XWAQStnk-4SwqDmLtmXYiTMKHgktTP8We1SCoS47DrQ/edit?usp=sharing"",""จัดที่ดิน!AU45"")"),58)</f>
        <v>58</v>
      </c>
      <c r="K647" s="978">
        <f t="shared" ca="1" si="271"/>
        <v>4.833333333333333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IFERROR(__xludf.DUMMYFUNCTION("IMPORTRANGE(""https://docs.google.com/spreadsheets/d/1XWAQStnk-4SwqDmLtmXYiTMKHgktTP8We1SCoS47DrQ/edit?usp=sharing"",""จัดที่ดิน!AV45"")"),29.6)</f>
        <v>29.6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IFERROR(__xludf.DUMMYFUNCTION("IMPORTRANGE(""https://docs.google.com/spreadsheets/d/1QqKyyYR6Q21VydFLVH3TRQUabQu_ym0Zz7PgGX0-kHA/edit?usp=sharing"",""แผน!HS45"")"),1200)</f>
        <v>1200</v>
      </c>
      <c r="J649" s="863">
        <f ca="1">IFERROR(__xludf.DUMMYFUNCTION("IMPORTRANGE(""https://docs.google.com/spreadsheets/d/1XWAQStnk-4SwqDmLtmXYiTMKHgktTP8We1SCoS47DrQ/edit?usp=sharing"",""จัดที่ดิน!AW45"")"),46)</f>
        <v>46</v>
      </c>
      <c r="K649" s="978">
        <f t="shared" ca="1" si="271"/>
        <v>3.8333333333333335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IFERROR(__xludf.DUMMYFUNCTION("IMPORTRANGE(""https://docs.google.com/spreadsheets/d/1XWAQStnk-4SwqDmLtmXYiTMKHgktTP8We1SCoS47DrQ/edit?usp=sharing"",""จัดที่ดิน!AX45"")"),25.54)</f>
        <v>25.54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IFERROR(__xludf.DUMMYFUNCTION("IMPORTRANGE(""https://docs.google.com/spreadsheets/d/1QqKyyYR6Q21VydFLVH3TRQUabQu_ym0Zz7PgGX0-kHA/edit?usp=sharing"",""แผน!HS45"")"),1200)</f>
        <v>1200</v>
      </c>
      <c r="J651" s="863">
        <f ca="1">IFERROR(__xludf.DUMMYFUNCTION("IMPORTRANGE(""https://docs.google.com/spreadsheets/d/1XWAQStnk-4SwqDmLtmXYiTMKHgktTP8We1SCoS47DrQ/edit?usp=sharing"",""จัดที่ดิน!AY45"")"),0)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IFERROR(__xludf.DUMMYFUNCTION("IMPORTRANGE(""https://docs.google.com/spreadsheets/d/1XWAQStnk-4SwqDmLtmXYiTMKHgktTP8We1SCoS47DrQ/edit?usp=sharing"",""จัดที่ดิน!AZ45"")"),0)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IFERROR(__xludf.DUMMYFUNCTION("IMPORTRANGE(""https://docs.google.com/spreadsheets/d/1QqKyyYR6Q21VydFLVH3TRQUabQu_ym0Zz7PgGX0-kHA/edit?usp=sharing"",""แผน!HV45"")"),0)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IFERROR(__xludf.DUMMYFUNCTION("IMPORTRANGE(""https://docs.google.com/spreadsheets/d/1QqKyyYR6Q21VydFLVH3TRQUabQu_ym0Zz7PgGX0-kHA/edit?usp=sharing"",""แผน!IA45"")"),0)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IFERROR(__xludf.DUMMYFUNCTION("IMPORTRANGE(""https://docs.google.com/spreadsheets/d/1QqKyyYR6Q21VydFLVH3TRQUabQu_ym0Zz7PgGX0-kHA/edit?usp=sharing"",""แผน!HZ45"")"),0)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IFERROR(__xludf.DUMMYFUNCTION("IMPORTRANGE(""https://docs.google.com/spreadsheets/d/1QqKyyYR6Q21VydFLVH3TRQUabQu_ym0Zz7PgGX0-kHA/edit?usp=sharing"",""แผน!HZ45"")"),0)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IFERROR(__xludf.DUMMYFUNCTION("IMPORTRANGE(""https://docs.google.com/spreadsheets/d/1QqKyyYR6Q21VydFLVH3TRQUabQu_ym0Zz7PgGX0-kHA/edit?usp=sharing"",""แผน!IB45"")"),0)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1940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1940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1940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IFERROR(__xludf.DUMMYFUNCTION("IMPORTRANGE(""https://docs.google.com/spreadsheets/d/1QqKyyYR6Q21VydFLVH3TRQUabQu_ym0Zz7PgGX0-kHA/edit?usp=sharing"",""แผน!HW45"")"),1940)</f>
        <v>1940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IFERROR(__xludf.DUMMYFUNCTION("IMPORTRANGE(""https://docs.google.com/spreadsheets/d/1QqKyyYR6Q21VydFLVH3TRQUabQu_ym0Zz7PgGX0-kHA/edit?usp=sharing"",""แผน!IC45"")"),0)</f>
        <v>0</v>
      </c>
      <c r="J699" s="863">
        <f ca="1">IFERROR(__xludf.DUMMYFUNCTION("IMPORTRANGE(""https://docs.google.com/spreadsheets/d/1XWAQStnk-4SwqDmLtmXYiTMKHgktTP8We1SCoS47DrQ/edit?usp=sharing"",""จัดที่ดิน!BB45"")"),0)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IFERROR(__xludf.DUMMYFUNCTION("IMPORTRANGE(""https://docs.google.com/spreadsheets/d/1QqKyyYR6Q21VydFLVH3TRQUabQu_ym0Zz7PgGX0-kHA/edit?usp=sharing"",""แผน!ID45"")"),0)</f>
        <v>0</v>
      </c>
      <c r="J700" s="863">
        <f ca="1">IFERROR(__xludf.DUMMYFUNCTION("IMPORTRANGE(""https://docs.google.com/spreadsheets/d/1XWAQStnk-4SwqDmLtmXYiTMKHgktTP8We1SCoS47DrQ/edit?usp=sharing"",""จัดที่ดิน!BD45"")"),0)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IFERROR(__xludf.DUMMYFUNCTION("IMPORTRANGE(""https://docs.google.com/spreadsheets/d/1QqKyyYR6Q21VydFLVH3TRQUabQu_ym0Zz7PgGX0-kHA/edit?usp=sharing"",""แผน!IE45"")"),47)</f>
        <v>47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IFERROR(__xludf.DUMMYFUNCTION("IMPORTRANGE(""https://docs.google.com/spreadsheets/d/1QqKyyYR6Q21VydFLVH3TRQUabQu_ym0Zz7PgGX0-kHA/edit?usp=sharing"",""แผน!IF45"")"),0)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IFERROR(__xludf.DUMMYFUNCTION("IMPORTRANGE(""https://docs.google.com/spreadsheets/d/1QqKyyYR6Q21VydFLVH3TRQUabQu_ym0Zz7PgGX0-kHA/edit?usp=sharing"",""แผน!IG45"")"),47)</f>
        <v>47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IFERROR(__xludf.DUMMYFUNCTION("IMPORTRANGE(""https://docs.google.com/spreadsheets/d/1QqKyyYR6Q21VydFLVH3TRQUabQu_ym0Zz7PgGX0-kHA/edit?usp=sharing"",""แผน!IH45"")"),0)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IFERROR(__xludf.DUMMYFUNCTION("IMPORTRANGE(""https://docs.google.com/spreadsheets/d/1XWAQStnk-4SwqDmLtmXYiTMKHgktTP8We1SCoS47DrQ/edit?usp=sharing"",""จัดที่ดิน!BF45"")"),0)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IFERROR(__xludf.DUMMYFUNCTION("IMPORTRANGE(""https://docs.google.com/spreadsheets/d/1XWAQStnk-4SwqDmLtmXYiTMKHgktTP8We1SCoS47DrQ/edit?usp=sharing"",""จัดที่ดิน!BG45"")"),0)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IFERROR(__xludf.DUMMYFUNCTION("IMPORTRANGE(""https://docs.google.com/spreadsheets/d/1QqKyyYR6Q21VydFLVH3TRQUabQu_ym0Zz7PgGX0-kHA/edit?usp=sharing"",""แผน!II45"")"),0)</f>
        <v>0</v>
      </c>
      <c r="J720" s="863">
        <f ca="1">IFERROR(__xludf.DUMMYFUNCTION("IMPORTRANGE(""https://docs.google.com/spreadsheets/d/1XWAQStnk-4SwqDmLtmXYiTMKHgktTP8We1SCoS47DrQ/edit?usp=sharing"",""จัดที่ดิน!BH45"")"),0)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IFERROR(__xludf.DUMMYFUNCTION("IMPORTRANGE(""https://docs.google.com/spreadsheets/d/1QqKyyYR6Q21VydFLVH3TRQUabQu_ym0Zz7PgGX0-kHA/edit?usp=sharing"",""แผน!IJ45"")"),0)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IFERROR(__xludf.DUMMYFUNCTION("IMPORTRANGE(""https://docs.google.com/spreadsheets/d/1QqKyyYR6Q21VydFLVH3TRQUabQu_ym0Zz7PgGX0-kHA/edit?usp=sharing"",""แผน!IK45"")"),0)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IFERROR(__xludf.DUMMYFUNCTION("IMPORTRANGE(""https://docs.google.com/spreadsheets/d/1QqKyyYR6Q21VydFLVH3TRQUabQu_ym0Zz7PgGX0-kHA/edit?usp=sharing"",""แผน!IL45"")"),0)</f>
        <v>0</v>
      </c>
      <c r="J723" s="863">
        <f ca="1">IFERROR(__xludf.DUMMYFUNCTION("IMPORTRANGE(""https://docs.google.com/spreadsheets/d/1XWAQStnk-4SwqDmLtmXYiTMKHgktTP8We1SCoS47DrQ/edit?usp=sharing"",""จัดที่ดิน!BM45"")"),0)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IFERROR(__xludf.DUMMYFUNCTION("IMPORTRANGE(""https://docs.google.com/spreadsheets/d/1XWAQStnk-4SwqDmLtmXYiTMKHgktTP8We1SCoS47DrQ/edit?usp=sharing"",""จัดที่ดิน!BN45"")"),0)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IFERROR(__xludf.DUMMYFUNCTION("IMPORTRANGE(""https://docs.google.com/spreadsheets/d/1QqKyyYR6Q21VydFLVH3TRQUabQu_ym0Zz7PgGX0-kHA/edit?usp=sharing"",""แผน!IM45"")"),0)</f>
        <v>0</v>
      </c>
      <c r="J725" s="863">
        <f ca="1">IFERROR(__xludf.DUMMYFUNCTION("IMPORTRANGE(""https://docs.google.com/spreadsheets/d/1XWAQStnk-4SwqDmLtmXYiTMKHgktTP8We1SCoS47DrQ/edit?usp=sharing"",""จัดที่ดิน!BO45"")"),0)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IFERROR(__xludf.DUMMYFUNCTION("IMPORTRANGE(""https://docs.google.com/spreadsheets/d/1QqKyyYR6Q21VydFLVH3TRQUabQu_ym0Zz7PgGX0-kHA/edit?usp=sharing"",""แผน!IN45"")"),0)</f>
        <v>0</v>
      </c>
      <c r="J726" s="863">
        <f ca="1">IFERROR(__xludf.DUMMYFUNCTION("IMPORTRANGE(""https://docs.google.com/spreadsheets/d/1XWAQStnk-4SwqDmLtmXYiTMKHgktTP8We1SCoS47DrQ/edit?usp=sharing"",""จัดที่ดิน!BR45"")"),0)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IFERROR(__xludf.DUMMYFUNCTION("IMPORTRANGE(""https://docs.google.com/spreadsheets/d/1XWAQStnk-4SwqDmLtmXYiTMKHgktTP8We1SCoS47DrQ/edit?usp=sharing"",""จัดที่ดิน!BS45"")"),0)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IFERROR(__xludf.DUMMYFUNCTION("IMPORTRANGE(""https://docs.google.com/spreadsheets/d/1QqKyyYR6Q21VydFLVH3TRQUabQu_ym0Zz7PgGX0-kHA/edit?usp=sharing"",""แผน!IO45"")"),0)</f>
        <v>0</v>
      </c>
      <c r="J728" s="863">
        <f ca="1">IFERROR(__xludf.DUMMYFUNCTION("IMPORTRANGE(""https://docs.google.com/spreadsheets/d/1XWAQStnk-4SwqDmLtmXYiTMKHgktTP8We1SCoS47DrQ/edit?usp=sharing"",""จัดที่ดิน!BT45"")"),0)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IFERROR(__xludf.DUMMYFUNCTION("IMPORTRANGE(""https://docs.google.com/spreadsheets/d/1QqKyyYR6Q21VydFLVH3TRQUabQu_ym0Zz7PgGX0-kHA/edit?usp=sharing"",""แผน!IP45"")"),0)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3000</v>
      </c>
      <c r="J785" s="800">
        <f t="shared" ca="1" si="318"/>
        <v>3768</v>
      </c>
      <c r="K785" s="801">
        <f ca="1">IF(I785&gt;0,J785*100/I785,0)</f>
        <v>125.6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197920</v>
      </c>
      <c r="M786" s="1000">
        <f t="shared" si="319"/>
        <v>0</v>
      </c>
      <c r="N786" s="1000">
        <f t="shared" si="319"/>
        <v>141240.10999999999</v>
      </c>
      <c r="O786" s="1000">
        <f t="shared" ref="O786:O791" ca="1" si="320">IF(L786&gt;0,N786*100/L786,0)</f>
        <v>71.362222109943403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197920</v>
      </c>
      <c r="M788" s="870">
        <f t="shared" si="322"/>
        <v>0</v>
      </c>
      <c r="N788" s="870">
        <f t="shared" si="322"/>
        <v>141240.10999999999</v>
      </c>
      <c r="O788" s="870">
        <f t="shared" ca="1" si="320"/>
        <v>71.362222109943403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197920</v>
      </c>
      <c r="M789" s="864">
        <f t="shared" si="323"/>
        <v>0</v>
      </c>
      <c r="N789" s="864">
        <f t="shared" si="323"/>
        <v>141240.10999999999</v>
      </c>
      <c r="O789" s="864">
        <f t="shared" ca="1" si="320"/>
        <v>71.362222109943403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IFERROR(__xludf.DUMMYFUNCTION("IMPORTRANGE(""https://docs.google.com/spreadsheets/d/1QqKyyYR6Q21VydFLVH3TRQUabQu_ym0Zz7PgGX0-kHA/edit?usp=sharing"",""แผน!JJ45"")"),197920)</f>
        <v>197920</v>
      </c>
      <c r="M791" s="870">
        <v>0</v>
      </c>
      <c r="N791" s="870">
        <f>N792+N793+N794+N795</f>
        <v>141240.10999999999</v>
      </c>
      <c r="O791" s="870">
        <f t="shared" ca="1" si="320"/>
        <v>71.362222109943403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42000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50266.68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v>48973.43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IFERROR(__xludf.DUMMYFUNCTION("IMPORTRANGE(""https://docs.google.com/spreadsheets/d/1MaWodYyGHDf7siQLGxnXhG4mBNTNIuy296niS2xXulU/edit?usp=sharing"",""RTK!H45"")"),343)</f>
        <v>343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IFERROR(__xludf.DUMMYFUNCTION("IMPORTRANGE(""https://docs.google.com/spreadsheets/d/1MaWodYyGHDf7siQLGxnXhG4mBNTNIuy296niS2xXulU/edit?usp=sharing"",""RTK!G45"")"),3000)</f>
        <v>3000</v>
      </c>
      <c r="J801" s="815">
        <f ca="1">IFERROR(__xludf.DUMMYFUNCTION("IMPORTRANGE(""https://docs.google.com/spreadsheets/d/1MaWodYyGHDf7siQLGxnXhG4mBNTNIuy296niS2xXulU/edit?usp=sharing"",""RTK!I45"")"),3768)</f>
        <v>3768</v>
      </c>
      <c r="K801" s="816">
        <f ca="1">IF(I801&gt;0,J801*100/I801,0)</f>
        <v>125.6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IFERROR(__xludf.DUMMYFUNCTION("IMPORTRANGE(""https://docs.google.com/spreadsheets/d/1MaWodYyGHDf7siQLGxnXhG4mBNTNIuy296niS2xXulU/edit?usp=sharing"",""RTK!L45"")"),0)</f>
        <v>0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IFERROR(__xludf.DUMMYFUNCTION("IMPORTRANGE(""https://docs.google.com/spreadsheets/d/1MaWodYyGHDf7siQLGxnXhG4mBNTNIuy296niS2xXulU/edit?usp=sharing"",""RTK!K45"")"),0)</f>
        <v>0</v>
      </c>
      <c r="J803" s="815">
        <f ca="1">IFERROR(__xludf.DUMMYFUNCTION("IMPORTRANGE(""https://docs.google.com/spreadsheets/d/1MaWodYyGHDf7siQLGxnXhG4mBNTNIuy296niS2xXulU/edit?usp=sharing"",""RTK!M45"")"),0)</f>
        <v>0</v>
      </c>
      <c r="K803" s="816">
        <f t="shared" ref="K803:K804" ca="1" si="327">IF(I803&gt;0,J803*100/I803,0)</f>
        <v>0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863">
        <f ca="1">IFERROR(__xludf.DUMMYFUNCTION("IMPORTRANGE(""https://docs.google.com/spreadsheets/d/19vJNZY_5yjcGF2XGBMNZRCAIB0Kwfpjp8YEOfu-bneM/edit?usp=sharing"",""งานกองทุน!F45"")"),2182228.31)</f>
        <v>2182228.31</v>
      </c>
      <c r="K821" s="864">
        <f t="shared" ref="K821:K828" ca="1" si="336">IF(I821&gt;0,J821*100/I821,0)</f>
        <v>24.313420182271944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IFERROR(__xludf.DUMMYFUNCTION("IMPORTRANGE(""https://docs.google.com/spreadsheets/d/19vJNZY_5yjcGF2XGBMNZRCAIB0Kwfpjp8YEOfu-bneM/edit?usp=sharing"",""งานกองทุน!C45"")"),724)</f>
        <v>724</v>
      </c>
      <c r="J822" s="863">
        <f ca="1">IFERROR(__xludf.DUMMYFUNCTION("IMPORTRANGE(""https://docs.google.com/spreadsheets/d/19vJNZY_5yjcGF2XGBMNZRCAIB0Kwfpjp8YEOfu-bneM/edit?usp=sharing"",""งานกองทุน!E45"")"),177)</f>
        <v>177</v>
      </c>
      <c r="K822" s="864">
        <f t="shared" ca="1" si="336"/>
        <v>24.447513812154696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863">
        <f ca="1">IFERROR(__xludf.DUMMYFUNCTION("IMPORTRANGE(""https://docs.google.com/spreadsheets/d/19vJNZY_5yjcGF2XGBMNZRCAIB0Kwfpjp8YEOfu-bneM/edit?usp=sharing"",""งานกองทุน!K45"")"),764803.31)</f>
        <v>764803.31</v>
      </c>
      <c r="K823" s="864">
        <f t="shared" ca="1" si="336"/>
        <v>16.94757783199049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IFERROR(__xludf.DUMMYFUNCTION("IMPORTRANGE(""https://docs.google.com/spreadsheets/d/19vJNZY_5yjcGF2XGBMNZRCAIB0Kwfpjp8YEOfu-bneM/edit?usp=sharing"",""งานกองทุน!H45"")"),223)</f>
        <v>223</v>
      </c>
      <c r="J824" s="863">
        <f ca="1">IFERROR(__xludf.DUMMYFUNCTION("IMPORTRANGE(""https://docs.google.com/spreadsheets/d/19vJNZY_5yjcGF2XGBMNZRCAIB0Kwfpjp8YEOfu-bneM/edit?usp=sharing"",""งานกองทุน!J45"")"),93)</f>
        <v>93</v>
      </c>
      <c r="K824" s="864">
        <f t="shared" ca="1" si="336"/>
        <v>41.704035874439462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IFERROR(__xludf.DUMMYFUNCTION("IMPORTRANGE(""https://docs.google.com/spreadsheets/d/19vJNZY_5yjcGF2XGBMNZRCAIB0Kwfpjp8YEOfu-bneM/edit?usp=sharing"",""งานกองทุน!N45"")"),0)</f>
        <v>0</v>
      </c>
      <c r="J825" s="863">
        <f ca="1">IFERROR(__xludf.DUMMYFUNCTION("IMPORTRANGE(""https://docs.google.com/spreadsheets/d/19vJNZY_5yjcGF2XGBMNZRCAIB0Kwfpjp8YEOfu-bneM/edit?usp=sharing"",""งานกองทุน!P45"")"),0)</f>
        <v>0</v>
      </c>
      <c r="K825" s="864">
        <f t="shared" ca="1" si="336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IFERROR(__xludf.DUMMYFUNCTION("IMPORTRANGE(""https://docs.google.com/spreadsheets/d/19vJNZY_5yjcGF2XGBMNZRCAIB0Kwfpjp8YEOfu-bneM/edit?usp=sharing"",""งานกองทุน!M45"")"),0)</f>
        <v>0</v>
      </c>
      <c r="J826" s="863">
        <f ca="1">IFERROR(__xludf.DUMMYFUNCTION("IMPORTRANGE(""https://docs.google.com/spreadsheets/d/19vJNZY_5yjcGF2XGBMNZRCAIB0Kwfpjp8YEOfu-bneM/edit?usp=sharing"",""งานกองทุน!O45"")"),0)</f>
        <v>0</v>
      </c>
      <c r="K826" s="864">
        <f t="shared" ca="1" si="336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IFERROR(__xludf.DUMMYFUNCTION("IMPORTRANGE(""https://docs.google.com/spreadsheets/d/19vJNZY_5yjcGF2XGBMNZRCAIB0Kwfpjp8YEOfu-bneM/edit?usp=sharing"",""งานกองทุน!S45"")"),8000000)</f>
        <v>8000000</v>
      </c>
      <c r="J827" s="863">
        <f ca="1">IFERROR(__xludf.DUMMYFUNCTION("IMPORTRANGE(""https://docs.google.com/spreadsheets/d/19vJNZY_5yjcGF2XGBMNZRCAIB0Kwfpjp8YEOfu-bneM/edit?usp=sharing"",""งานกองทุน!U45"")"),3930000)</f>
        <v>3930000</v>
      </c>
      <c r="K827" s="864">
        <f t="shared" ca="1" si="336"/>
        <v>49.125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IFERROR(__xludf.DUMMYFUNCTION("IMPORTRANGE(""https://docs.google.com/spreadsheets/d/19vJNZY_5yjcGF2XGBMNZRCAIB0Kwfpjp8YEOfu-bneM/edit?usp=sharing"",""งานกองทุน!R45"")"),233)</f>
        <v>233</v>
      </c>
      <c r="J828" s="1117">
        <f ca="1">IFERROR(__xludf.DUMMYFUNCTION("IMPORTRANGE(""https://docs.google.com/spreadsheets/d/19vJNZY_5yjcGF2XGBMNZRCAIB0Kwfpjp8YEOfu-bneM/edit?usp=sharing"",""งานกองทุน!T45"")"),93)</f>
        <v>93</v>
      </c>
      <c r="K828" s="1215">
        <f t="shared" ca="1" si="336"/>
        <v>39.914163090128753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A78E-449C-4D8F-A496-E363EC7FC403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8.7109375" style="836" bestFit="1" customWidth="1"/>
    <col min="10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352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7685915</v>
      </c>
      <c r="M8" s="850">
        <f t="shared" ca="1" si="0"/>
        <v>3733188.8200000003</v>
      </c>
      <c r="N8" s="850">
        <f t="shared" ca="1" si="0"/>
        <v>3601221.73</v>
      </c>
      <c r="O8" s="850">
        <f t="shared" ref="O8:O16" ca="1" si="1">IF(L8&gt;0,N8*100/L8,0)</f>
        <v>46.854821189149241</v>
      </c>
      <c r="P8" s="850">
        <f t="shared" ref="P8:P16" ca="1" si="2">IF(M8&gt;0,N8*100/M8,0)</f>
        <v>96.465030397256996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7685915</v>
      </c>
      <c r="M10" s="857">
        <f t="shared" ca="1" si="3"/>
        <v>3733188.8200000003</v>
      </c>
      <c r="N10" s="857">
        <f t="shared" ca="1" si="3"/>
        <v>3601221.73</v>
      </c>
      <c r="O10" s="857">
        <f t="shared" ca="1" si="1"/>
        <v>46.854821189149241</v>
      </c>
      <c r="P10" s="857">
        <f t="shared" ca="1" si="2"/>
        <v>96.465030397256996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7468815</v>
      </c>
      <c r="M11" s="864">
        <f t="shared" ca="1" si="4"/>
        <v>3518468.8200000003</v>
      </c>
      <c r="N11" s="864">
        <f t="shared" ca="1" si="4"/>
        <v>3386501.73</v>
      </c>
      <c r="O11" s="864">
        <f t="shared" ca="1" si="1"/>
        <v>45.341887970180011</v>
      </c>
      <c r="P11" s="864">
        <f t="shared" ca="1" si="2"/>
        <v>96.249303411476575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7468815</v>
      </c>
      <c r="M13" s="870">
        <f t="shared" ca="1" si="5"/>
        <v>3518468.8200000003</v>
      </c>
      <c r="N13" s="870">
        <f t="shared" ca="1" si="5"/>
        <v>3386501.73</v>
      </c>
      <c r="O13" s="870">
        <f t="shared" ca="1" si="1"/>
        <v>45.341887970180011</v>
      </c>
      <c r="P13" s="870">
        <f t="shared" ca="1" si="2"/>
        <v>96.249303411476575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217100</v>
      </c>
      <c r="M14" s="864">
        <f t="shared" ca="1" si="6"/>
        <v>214720</v>
      </c>
      <c r="N14" s="864">
        <f t="shared" ca="1" si="6"/>
        <v>214720</v>
      </c>
      <c r="O14" s="864">
        <f t="shared" ca="1" si="1"/>
        <v>98.903730999539377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217100</v>
      </c>
      <c r="M16" s="876">
        <f t="shared" ca="1" si="7"/>
        <v>214720</v>
      </c>
      <c r="N16" s="876">
        <f t="shared" ca="1" si="7"/>
        <v>214720</v>
      </c>
      <c r="O16" s="876">
        <f t="shared" ca="1" si="1"/>
        <v>98.903730999539377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4461937</v>
      </c>
      <c r="M18" s="850">
        <f t="shared" ca="1" si="8"/>
        <v>3733188.8200000003</v>
      </c>
      <c r="N18" s="850">
        <f t="shared" ca="1" si="8"/>
        <v>2297090.63</v>
      </c>
      <c r="O18" s="850">
        <f t="shared" ref="O18:O26" ca="1" si="9">IF(L18&gt;0,N18*100/L18,0)</f>
        <v>51.48191536545675</v>
      </c>
      <c r="P18" s="850">
        <f t="shared" ref="P18:P26" ca="1" si="10">IF(M18&gt;0,N18*100/M18,0)</f>
        <v>61.531595125692029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4461937</v>
      </c>
      <c r="M20" s="857">
        <f t="shared" ca="1" si="11"/>
        <v>3733188.8200000003</v>
      </c>
      <c r="N20" s="857">
        <f t="shared" ca="1" si="11"/>
        <v>2297090.63</v>
      </c>
      <c r="O20" s="857">
        <f t="shared" ca="1" si="9"/>
        <v>51.48191536545675</v>
      </c>
      <c r="P20" s="857">
        <f t="shared" ca="1" si="10"/>
        <v>61.531595125692029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4244837</v>
      </c>
      <c r="M21" s="864">
        <f t="shared" ca="1" si="12"/>
        <v>3518468.8200000003</v>
      </c>
      <c r="N21" s="864">
        <f t="shared" ca="1" si="12"/>
        <v>2082370.63</v>
      </c>
      <c r="O21" s="864">
        <f t="shared" ca="1" si="9"/>
        <v>49.056551052490356</v>
      </c>
      <c r="P21" s="864">
        <f t="shared" ca="1" si="10"/>
        <v>59.184001238356856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4244837</v>
      </c>
      <c r="M23" s="870">
        <f t="shared" ca="1" si="13"/>
        <v>3518468.8200000003</v>
      </c>
      <c r="N23" s="870">
        <f t="shared" ca="1" si="13"/>
        <v>2082370.63</v>
      </c>
      <c r="O23" s="870">
        <f t="shared" ca="1" si="9"/>
        <v>49.056551052490356</v>
      </c>
      <c r="P23" s="870">
        <f t="shared" ca="1" si="10"/>
        <v>59.184001238356856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217100</v>
      </c>
      <c r="M24" s="864">
        <f t="shared" ca="1" si="14"/>
        <v>214720</v>
      </c>
      <c r="N24" s="864">
        <f t="shared" ca="1" si="14"/>
        <v>214720</v>
      </c>
      <c r="O24" s="864">
        <f t="shared" ca="1" si="9"/>
        <v>98.903730999539377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217100</v>
      </c>
      <c r="M26" s="876">
        <f t="shared" ca="1" si="15"/>
        <v>214720</v>
      </c>
      <c r="N26" s="876">
        <f t="shared" ca="1" si="15"/>
        <v>214720</v>
      </c>
      <c r="O26" s="876">
        <f t="shared" ca="1" si="9"/>
        <v>98.903730999539377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3223978</v>
      </c>
      <c r="M28" s="850">
        <f t="shared" si="16"/>
        <v>0</v>
      </c>
      <c r="N28" s="850">
        <f t="shared" si="16"/>
        <v>1304131.1000000001</v>
      </c>
      <c r="O28" s="850">
        <f t="shared" ref="O28:O37" ca="1" si="17">IF(L28&gt;0,N28*100/L28,0)</f>
        <v>40.450992531586756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3223978</v>
      </c>
      <c r="M30" s="857">
        <f t="shared" si="19"/>
        <v>0</v>
      </c>
      <c r="N30" s="857">
        <f t="shared" si="19"/>
        <v>1304131.1000000001</v>
      </c>
      <c r="O30" s="857">
        <f t="shared" ca="1" si="17"/>
        <v>40.450992531586756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3223978</v>
      </c>
      <c r="M31" s="864">
        <f t="shared" si="20"/>
        <v>0</v>
      </c>
      <c r="N31" s="864">
        <f t="shared" si="20"/>
        <v>1304131.1000000001</v>
      </c>
      <c r="O31" s="864">
        <f t="shared" ca="1" si="17"/>
        <v>40.450992531586756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3223978</v>
      </c>
      <c r="M33" s="870">
        <f t="shared" si="21"/>
        <v>0</v>
      </c>
      <c r="N33" s="870">
        <f t="shared" si="21"/>
        <v>1304131.1000000001</v>
      </c>
      <c r="O33" s="870">
        <f t="shared" ca="1" si="17"/>
        <v>40.450992531586756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4461937</v>
      </c>
      <c r="M37" s="883">
        <f t="shared" ca="1" si="24"/>
        <v>3733188.8200000003</v>
      </c>
      <c r="N37" s="883">
        <f t="shared" ca="1" si="24"/>
        <v>2297090.63</v>
      </c>
      <c r="O37" s="883">
        <f t="shared" ca="1" si="17"/>
        <v>51.48191536545675</v>
      </c>
      <c r="P37" s="883">
        <f t="shared" ca="1" si="18"/>
        <v>61.531595125692029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432342</v>
      </c>
      <c r="M41" s="908">
        <f t="shared" ca="1" si="25"/>
        <v>444327.82</v>
      </c>
      <c r="N41" s="908">
        <f t="shared" ca="1" si="25"/>
        <v>266818.26</v>
      </c>
      <c r="O41" s="908">
        <f t="shared" ref="O41:O49" ca="1" si="26">IF(L41&gt;0,N41*100/L41,0)</f>
        <v>61.714628696726201</v>
      </c>
      <c r="P41" s="908">
        <f t="shared" ref="P41:P49" ca="1" si="27">IF(M41&gt;0,N41*100/M41,0)</f>
        <v>60.049865885057571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432342</v>
      </c>
      <c r="M43" s="914">
        <f t="shared" ca="1" si="28"/>
        <v>444327.82</v>
      </c>
      <c r="N43" s="914">
        <f t="shared" ca="1" si="28"/>
        <v>266818.26</v>
      </c>
      <c r="O43" s="914">
        <f t="shared" ca="1" si="26"/>
        <v>61.714628696726201</v>
      </c>
      <c r="P43" s="914">
        <f t="shared" ca="1" si="27"/>
        <v>60.049865885057571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432342</v>
      </c>
      <c r="M44" s="864">
        <f t="shared" ca="1" si="29"/>
        <v>444327.82</v>
      </c>
      <c r="N44" s="864">
        <f t="shared" ca="1" si="29"/>
        <v>266818.26</v>
      </c>
      <c r="O44" s="864">
        <f t="shared" ca="1" si="26"/>
        <v>61.714628696726201</v>
      </c>
      <c r="P44" s="864">
        <f t="shared" ca="1" si="27"/>
        <v>60.049865885057571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IFERROR(__xludf.DUMMYFUNCTION("IMPORTRANGE(""https://docs.google.com/spreadsheets/d/1MeEWN-I1oV_STSDYn1IFDPWt_1FKiwhDph83XaGc0o0/edit?usp=sharing"",""งบพรบ!M46"")"),432342)</f>
        <v>432342</v>
      </c>
      <c r="M46" s="870">
        <f ca="1">IFERROR(__xludf.DUMMYFUNCTION("IMPORTRANGE(""https://docs.google.com/spreadsheets/d/1MeEWN-I1oV_STSDYn1IFDPWt_1FKiwhDph83XaGc0o0/edit?usp=sharing"",""งบพรบ!R46"")"),444327.82)</f>
        <v>444327.82</v>
      </c>
      <c r="N46" s="870">
        <f ca="1">IFERROR(__xludf.DUMMYFUNCTION("IMPORTRANGE(""https://docs.google.com/spreadsheets/d/1MeEWN-I1oV_STSDYn1IFDPWt_1FKiwhDph83XaGc0o0/edit?usp=sharing"",""งบพรบ!T46"")"),266818.26)</f>
        <v>266818.26</v>
      </c>
      <c r="O46" s="870">
        <f t="shared" ca="1" si="26"/>
        <v>61.714628696726201</v>
      </c>
      <c r="P46" s="870">
        <f t="shared" ca="1" si="27"/>
        <v>60.049865885057571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IFERROR(__xludf.DUMMYFUNCTION("IMPORTRANGE(""https://docs.google.com/spreadsheets/d/1MeEWN-I1oV_STSDYn1IFDPWt_1FKiwhDph83XaGc0o0/edit?usp=sharing"",""งบพรบ!P46"")"),0)</f>
        <v>0</v>
      </c>
      <c r="M49" s="876">
        <f ca="1">IFERROR(__xludf.DUMMYFUNCTION("IMPORTRANGE(""https://docs.google.com/spreadsheets/d/1MeEWN-I1oV_STSDYn1IFDPWt_1FKiwhDph83XaGc0o0/edit?usp=sharing"",""งบพรบ!S46"")"),0)</f>
        <v>0</v>
      </c>
      <c r="N49" s="876">
        <f ca="1">IFERROR(__xludf.DUMMYFUNCTION("IMPORTRANGE(""https://docs.google.com/spreadsheets/d/1MeEWN-I1oV_STSDYn1IFDPWt_1FKiwhDph83XaGc0o0/edit?usp=sharing"",""งบพรบ!U46"")"),0)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825900</v>
      </c>
      <c r="M53" s="936">
        <f t="shared" ca="1" si="31"/>
        <v>688320</v>
      </c>
      <c r="N53" s="936">
        <f t="shared" ca="1" si="31"/>
        <v>523773.62</v>
      </c>
      <c r="O53" s="936">
        <f t="shared" ref="O53:O61" ca="1" si="32">IF(L53&gt;0,N53*100/L53,0)</f>
        <v>63.418527666787746</v>
      </c>
      <c r="P53" s="936">
        <f t="shared" ref="P53:P61" ca="1" si="33">IF(M53&gt;0,N53*100/M53,0)</f>
        <v>76.094493840074378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825900</v>
      </c>
      <c r="M55" s="942">
        <f t="shared" ca="1" si="34"/>
        <v>688320</v>
      </c>
      <c r="N55" s="942">
        <f t="shared" ca="1" si="34"/>
        <v>523773.62</v>
      </c>
      <c r="O55" s="942">
        <f t="shared" ca="1" si="32"/>
        <v>63.418527666787746</v>
      </c>
      <c r="P55" s="942">
        <f t="shared" ca="1" si="33"/>
        <v>76.094493840074378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776000</v>
      </c>
      <c r="M56" s="864">
        <f t="shared" ca="1" si="35"/>
        <v>638620</v>
      </c>
      <c r="N56" s="864">
        <f t="shared" ca="1" si="35"/>
        <v>474073.62</v>
      </c>
      <c r="O56" s="864">
        <f t="shared" ca="1" si="32"/>
        <v>61.091961340206183</v>
      </c>
      <c r="P56" s="864">
        <f t="shared" ca="1" si="33"/>
        <v>74.234070339168838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IFERROR(__xludf.DUMMYFUNCTION("IMPORTRANGE(""https://docs.google.com/spreadsheets/d/1MeEWN-I1oV_STSDYn1IFDPWt_1FKiwhDph83XaGc0o0/edit?usp=sharing"",""งบพรบ!W46"")"),776000)</f>
        <v>776000</v>
      </c>
      <c r="M58" s="870">
        <f ca="1">IFERROR(__xludf.DUMMYFUNCTION("IMPORTRANGE(""https://docs.google.com/spreadsheets/d/1MeEWN-I1oV_STSDYn1IFDPWt_1FKiwhDph83XaGc0o0/edit?usp=sharing"",""งบพรบ!AB46"")"),638620)</f>
        <v>638620</v>
      </c>
      <c r="N58" s="870">
        <f ca="1">IFERROR(__xludf.DUMMYFUNCTION("IMPORTRANGE(""https://docs.google.com/spreadsheets/d/1MeEWN-I1oV_STSDYn1IFDPWt_1FKiwhDph83XaGc0o0/edit?usp=sharing"",""งบพรบ!AD46"")"),474073.62)</f>
        <v>474073.62</v>
      </c>
      <c r="O58" s="870">
        <f t="shared" ca="1" si="32"/>
        <v>61.091961340206183</v>
      </c>
      <c r="P58" s="870">
        <f t="shared" ca="1" si="33"/>
        <v>74.234070339168838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49900</v>
      </c>
      <c r="M59" s="864">
        <f t="shared" ca="1" si="36"/>
        <v>49700</v>
      </c>
      <c r="N59" s="864">
        <f t="shared" ca="1" si="36"/>
        <v>49700</v>
      </c>
      <c r="O59" s="864">
        <f t="shared" ca="1" si="32"/>
        <v>99.599198396793582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IFERROR(__xludf.DUMMYFUNCTION("IMPORTRANGE(""https://docs.google.com/spreadsheets/d/1MeEWN-I1oV_STSDYn1IFDPWt_1FKiwhDph83XaGc0o0/edit?usp=sharing"",""งบพรบ!Z46"")"),49900)</f>
        <v>49900</v>
      </c>
      <c r="M61" s="876">
        <f ca="1">IFERROR(__xludf.DUMMYFUNCTION("IMPORTRANGE(""https://docs.google.com/spreadsheets/d/1MeEWN-I1oV_STSDYn1IFDPWt_1FKiwhDph83XaGc0o0/edit?usp=sharing"",""งบพรบ!AC46"")"),49700)</f>
        <v>49700</v>
      </c>
      <c r="N61" s="876">
        <f ca="1">IFERROR(__xludf.DUMMYFUNCTION("IMPORTRANGE(""https://docs.google.com/spreadsheets/d/1MeEWN-I1oV_STSDYn1IFDPWt_1FKiwhDph83XaGc0o0/edit?usp=sharing"",""งบพรบ!AE46"")"),49700)</f>
        <v>49700</v>
      </c>
      <c r="O61" s="876">
        <f t="shared" ca="1" si="32"/>
        <v>99.599198396793582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 hidden="1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 hidden="1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0</v>
      </c>
      <c r="J64" s="962">
        <f t="shared" si="37"/>
        <v>0</v>
      </c>
      <c r="K64" s="963">
        <f t="shared" ref="K64:K65" ca="1" si="38">IF(I64&gt;0,J64*100/I64,0)</f>
        <v>0</v>
      </c>
      <c r="L64" s="964"/>
      <c r="M64" s="964"/>
      <c r="N64" s="964"/>
      <c r="O64" s="964"/>
      <c r="P64" s="964"/>
    </row>
    <row r="65" spans="1:26" ht="19.5" hidden="1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0</v>
      </c>
      <c r="J65" s="962">
        <f t="shared" si="37"/>
        <v>0</v>
      </c>
      <c r="K65" s="963">
        <f t="shared" ca="1" si="38"/>
        <v>0</v>
      </c>
      <c r="L65" s="964"/>
      <c r="M65" s="964"/>
      <c r="N65" s="964"/>
      <c r="O65" s="964"/>
      <c r="P65" s="964"/>
    </row>
    <row r="66" spans="1:26" ht="19.5" hidden="1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0</v>
      </c>
      <c r="M66" s="972">
        <f t="shared" ca="1" si="39"/>
        <v>0</v>
      </c>
      <c r="N66" s="972">
        <f t="shared" ca="1" si="39"/>
        <v>0</v>
      </c>
      <c r="O66" s="972">
        <f t="shared" ref="O66:O74" ca="1" si="40">IF(L66&gt;0,N66*100/L66,0)</f>
        <v>0</v>
      </c>
      <c r="P66" s="972">
        <f t="shared" ref="P66:P74" ca="1" si="41">IF(M66&gt;0,N66*100/M66,0)</f>
        <v>0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0</v>
      </c>
      <c r="M68" s="870">
        <f t="shared" ca="1" si="42"/>
        <v>0</v>
      </c>
      <c r="N68" s="870">
        <f t="shared" ca="1" si="42"/>
        <v>0</v>
      </c>
      <c r="O68" s="870">
        <f t="shared" ca="1" si="40"/>
        <v>0</v>
      </c>
      <c r="P68" s="870">
        <f t="shared" ca="1" si="41"/>
        <v>0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 hidden="1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0</v>
      </c>
      <c r="M69" s="864">
        <f t="shared" ca="1" si="43"/>
        <v>0</v>
      </c>
      <c r="N69" s="864">
        <f t="shared" ca="1" si="43"/>
        <v>0</v>
      </c>
      <c r="O69" s="864">
        <f t="shared" ca="1" si="40"/>
        <v>0</v>
      </c>
      <c r="P69" s="864">
        <f t="shared" ca="1" si="41"/>
        <v>0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IFERROR(__xludf.DUMMYFUNCTION("IMPORTRANGE(""https://docs.google.com/spreadsheets/d/1MeEWN-I1oV_STSDYn1IFDPWt_1FKiwhDph83XaGc0o0/edit?usp=sharing"",""งบพรบ!AG46"")"),0)</f>
        <v>0</v>
      </c>
      <c r="M71" s="870">
        <f ca="1">IFERROR(__xludf.DUMMYFUNCTION("IMPORTRANGE(""https://docs.google.com/spreadsheets/d/1MeEWN-I1oV_STSDYn1IFDPWt_1FKiwhDph83XaGc0o0/edit?usp=sharing"",""งบพรบ!AL46"")"),0)</f>
        <v>0</v>
      </c>
      <c r="N71" s="870">
        <f ca="1">IFERROR(__xludf.DUMMYFUNCTION("IMPORTRANGE(""https://docs.google.com/spreadsheets/d/1MeEWN-I1oV_STSDYn1IFDPWt_1FKiwhDph83XaGc0o0/edit?usp=sharing"",""งบพรบ!AN46"")"),0)</f>
        <v>0</v>
      </c>
      <c r="O71" s="870">
        <f t="shared" ca="1" si="40"/>
        <v>0</v>
      </c>
      <c r="P71" s="870">
        <f t="shared" ca="1" si="41"/>
        <v>0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 hidden="1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IFERROR(__xludf.DUMMYFUNCTION("IMPORTRANGE(""https://docs.google.com/spreadsheets/d/1MeEWN-I1oV_STSDYn1IFDPWt_1FKiwhDph83XaGc0o0/edit?usp=sharing"",""งบพรบ!AJ46"")"),0)</f>
        <v>0</v>
      </c>
      <c r="M74" s="870">
        <f ca="1">IFERROR(__xludf.DUMMYFUNCTION("IMPORTRANGE(""https://docs.google.com/spreadsheets/d/1MeEWN-I1oV_STSDYn1IFDPWt_1FKiwhDph83XaGc0o0/edit?usp=sharing"",""งบพรบ!AM46"")"),0)</f>
        <v>0</v>
      </c>
      <c r="N74" s="870">
        <f ca="1">IFERROR(__xludf.DUMMYFUNCTION("IMPORTRANGE(""https://docs.google.com/spreadsheets/d/1MeEWN-I1oV_STSDYn1IFDPWt_1FKiwhDph83XaGc0o0/edit?usp=sharing"",""งบพรบ!AO46"")"),0)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 hidden="1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 hidden="1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0</v>
      </c>
      <c r="J76" s="863">
        <f t="shared" si="45"/>
        <v>0</v>
      </c>
      <c r="K76" s="978">
        <f t="shared" ref="K76:K84" ca="1" si="46">IF(I76&gt;0,J76*100/I76,0)</f>
        <v>0</v>
      </c>
      <c r="L76" s="978"/>
      <c r="M76" s="978"/>
      <c r="N76" s="978"/>
      <c r="O76" s="978"/>
      <c r="P76" s="978"/>
    </row>
    <row r="77" spans="1:26" ht="19.5" hidden="1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0</v>
      </c>
      <c r="J77" s="863">
        <f t="shared" si="45"/>
        <v>0</v>
      </c>
      <c r="K77" s="978">
        <f t="shared" ca="1" si="46"/>
        <v>0</v>
      </c>
      <c r="L77" s="978"/>
      <c r="M77" s="978"/>
      <c r="N77" s="978"/>
      <c r="O77" s="978"/>
      <c r="P77" s="978"/>
    </row>
    <row r="78" spans="1:26" ht="18.75" hidden="1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IFERROR(__xludf.DUMMYFUNCTION("IMPORTRANGE(""https://docs.google.com/spreadsheets/d/1QqKyyYR6Q21VydFLVH3TRQUabQu_ym0Zz7PgGX0-kHA/edit?usp=sharing"",""แผน!H46"")"),0)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 hidden="1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IFERROR(__xludf.DUMMYFUNCTION("IMPORTRANGE(""https://docs.google.com/spreadsheets/d/1QqKyyYR6Q21VydFLVH3TRQUabQu_ym0Zz7PgGX0-kHA/edit?usp=sharing"",""แผน!I46"")"),0)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 hidden="1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IFERROR(__xludf.DUMMYFUNCTION("IMPORTRANGE(""https://docs.google.com/spreadsheets/d/1QqKyyYR6Q21VydFLVH3TRQUabQu_ym0Zz7PgGX0-kHA/edit?usp=sharing"",""แผน!F46"")"),0)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 hidden="1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IFERROR(__xludf.DUMMYFUNCTION("IMPORTRANGE(""https://docs.google.com/spreadsheets/d/1QqKyyYR6Q21VydFLVH3TRQUabQu_ym0Zz7PgGX0-kHA/edit?usp=sharing"",""แผน!G46"")"),0)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 hidden="1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IFERROR(__xludf.DUMMYFUNCTION("IMPORTRANGE(""https://docs.google.com/spreadsheets/d/1QqKyyYR6Q21VydFLVH3TRQUabQu_ym0Zz7PgGX0-kHA/edit?usp=sharing"",""แผน!D46"")"),0)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 hidden="1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IFERROR(__xludf.DUMMYFUNCTION("IMPORTRANGE(""https://docs.google.com/spreadsheets/d/1QqKyyYR6Q21VydFLVH3TRQUabQu_ym0Zz7PgGX0-kHA/edit?usp=sharing"",""แผน!E46"")"),0)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 hidden="1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IFERROR(__xludf.DUMMYFUNCTION("IMPORTRANGE(""https://docs.google.com/spreadsheets/d/1QqKyyYR6Q21VydFLVH3TRQUabQu_ym0Zz7PgGX0-kHA/edit?usp=sharing"",""แผน!J46"")"),0)</f>
        <v>0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45</v>
      </c>
      <c r="J86" s="962">
        <f t="shared" si="47"/>
        <v>45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15</v>
      </c>
      <c r="J87" s="962">
        <f t="shared" si="47"/>
        <v>15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98760</v>
      </c>
      <c r="M88" s="972">
        <f t="shared" ca="1" si="49"/>
        <v>62810</v>
      </c>
      <c r="N88" s="972">
        <f t="shared" ca="1" si="49"/>
        <v>26160</v>
      </c>
      <c r="O88" s="972">
        <f t="shared" ref="O88:O96" ca="1" si="50">IF(L88&gt;0,N88*100/L88,0)</f>
        <v>26.488456865127581</v>
      </c>
      <c r="P88" s="972">
        <f t="shared" ref="P88:P96" ca="1" si="51">IF(M88&gt;0,N88*100/M88,0)</f>
        <v>41.649418882343575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98760</v>
      </c>
      <c r="M90" s="870">
        <f t="shared" ca="1" si="52"/>
        <v>62810</v>
      </c>
      <c r="N90" s="870">
        <f t="shared" ca="1" si="52"/>
        <v>26160</v>
      </c>
      <c r="O90" s="870">
        <f t="shared" ca="1" si="50"/>
        <v>26.488456865127581</v>
      </c>
      <c r="P90" s="870">
        <f t="shared" ca="1" si="51"/>
        <v>41.649418882343575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98760</v>
      </c>
      <c r="M91" s="864">
        <f t="shared" ca="1" si="53"/>
        <v>62810</v>
      </c>
      <c r="N91" s="864">
        <f t="shared" ca="1" si="53"/>
        <v>26160</v>
      </c>
      <c r="O91" s="864">
        <f t="shared" ca="1" si="50"/>
        <v>26.488456865127581</v>
      </c>
      <c r="P91" s="864">
        <f t="shared" ca="1" si="51"/>
        <v>41.649418882343575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IFERROR(__xludf.DUMMYFUNCTION("IMPORTRANGE(""https://docs.google.com/spreadsheets/d/1MeEWN-I1oV_STSDYn1IFDPWt_1FKiwhDph83XaGc0o0/edit?usp=sharing"",""งบพรบ!AQ46"")"),98760)</f>
        <v>98760</v>
      </c>
      <c r="M93" s="870">
        <f ca="1">IFERROR(__xludf.DUMMYFUNCTION("IMPORTRANGE(""https://docs.google.com/spreadsheets/d/1MeEWN-I1oV_STSDYn1IFDPWt_1FKiwhDph83XaGc0o0/edit?usp=sharing"",""งบพรบ!AV46"")"),62810)</f>
        <v>62810</v>
      </c>
      <c r="N93" s="870">
        <f ca="1">IFERROR(__xludf.DUMMYFUNCTION("IMPORTRANGE(""https://docs.google.com/spreadsheets/d/1MeEWN-I1oV_STSDYn1IFDPWt_1FKiwhDph83XaGc0o0/edit?usp=sharing"",""งบพรบ!AX46"")"),26160)</f>
        <v>26160</v>
      </c>
      <c r="O93" s="870">
        <f t="shared" ca="1" si="50"/>
        <v>26.488456865127581</v>
      </c>
      <c r="P93" s="870">
        <f t="shared" ca="1" si="51"/>
        <v>41.649418882343575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IFERROR(__xludf.DUMMYFUNCTION("IMPORTRANGE(""https://docs.google.com/spreadsheets/d/1MeEWN-I1oV_STSDYn1IFDPWt_1FKiwhDph83XaGc0o0/edit?usp=sharing"",""งบพรบ!AT46"")"),0)</f>
        <v>0</v>
      </c>
      <c r="M96" s="870">
        <f ca="1">IFERROR(__xludf.DUMMYFUNCTION("IMPORTRANGE(""https://docs.google.com/spreadsheets/d/1MeEWN-I1oV_STSDYn1IFDPWt_1FKiwhDph83XaGc0o0/edit?usp=sharing"",""งบพรบ!AW46"")"),0)</f>
        <v>0</v>
      </c>
      <c r="N96" s="870">
        <f ca="1">IFERROR(__xludf.DUMMYFUNCTION("IMPORTRANGE(""https://docs.google.com/spreadsheets/d/1MeEWN-I1oV_STSDYn1IFDPWt_1FKiwhDph83XaGc0o0/edit?usp=sharing"",""งบพรบ!AY46"")"),0)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IFERROR(__xludf.DUMMYFUNCTION("IMPORTRANGE(""https://docs.google.com/spreadsheets/d/1QqKyyYR6Q21VydFLVH3TRQUabQu_ym0Zz7PgGX0-kHA/edit?usp=sharing"",""แผน!K46"")"),45)</f>
        <v>45</v>
      </c>
      <c r="J98" s="863">
        <f>J102</f>
        <v>45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IFERROR(__xludf.DUMMYFUNCTION("IMPORTRANGE(""https://docs.google.com/spreadsheets/d/1QqKyyYR6Q21VydFLVH3TRQUabQu_ym0Zz7PgGX0-kHA/edit?usp=sharing"",""แผน!L46"")"),15)</f>
        <v>15</v>
      </c>
      <c r="J99" s="863">
        <f>J104</f>
        <v>15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IFERROR(__xludf.DUMMYFUNCTION("IMPORTRANGE(""https://docs.google.com/spreadsheets/d/1QqKyyYR6Q21VydFLVH3TRQUabQu_ym0Zz7PgGX0-kHA/edit?usp=sharing"",""แผน!M46"")"),2)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IFERROR(__xludf.DUMMYFUNCTION("IMPORTRANGE(""https://docs.google.com/spreadsheets/d/1QqKyyYR6Q21VydFLVH3TRQUabQu_ym0Zz7PgGX0-kHA/edit?usp=sharing"",""แผน!N46"")"),45)</f>
        <v>45</v>
      </c>
      <c r="J102" s="992">
        <v>45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IFERROR(__xludf.DUMMYFUNCTION("IMPORTRANGE(""https://docs.google.com/spreadsheets/d/1QqKyyYR6Q21VydFLVH3TRQUabQu_ym0Zz7PgGX0-kHA/edit?usp=sharing"",""แผน!O46"")"),15)</f>
        <v>15</v>
      </c>
      <c r="J103" s="992">
        <v>15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IFERROR(__xludf.DUMMYFUNCTION("IMPORTRANGE(""https://docs.google.com/spreadsheets/d/1QqKyyYR6Q21VydFLVH3TRQUabQu_ym0Zz7PgGX0-kHA/edit?usp=sharing"",""แผน!O46"")"),15)</f>
        <v>15</v>
      </c>
      <c r="J104" s="992">
        <v>15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IFERROR(__xludf.DUMMYFUNCTION("IMPORTRANGE(""https://docs.google.com/spreadsheets/d/1QqKyyYR6Q21VydFLVH3TRQUabQu_ym0Zz7PgGX0-kHA/edit?usp=sharing"",""แผน!P46"")"),1)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IFERROR(__xludf.DUMMYFUNCTION("IMPORTRANGE(""https://docs.google.com/spreadsheets/d/1QqKyyYR6Q21VydFLVH3TRQUabQu_ym0Zz7PgGX0-kHA/edit?usp=sharing"",""แผน!P46"")"),1)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IFERROR(__xludf.DUMMYFUNCTION("IMPORTRANGE(""https://docs.google.com/spreadsheets/d/1QqKyyYR6Q21VydFLVH3TRQUabQu_ym0Zz7PgGX0-kHA/edit?usp=sharing"",""แผน!Q46"")"),1)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IFERROR(__xludf.DUMMYFUNCTION("IMPORTRANGE(""https://docs.google.com/spreadsheets/d/1QqKyyYR6Q21VydFLVH3TRQUabQu_ym0Zz7PgGX0-kHA/edit?usp=sharing"",""แผน!Q46"")"),1)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IFERROR(__xludf.DUMMYFUNCTION("IMPORTRANGE(""https://docs.google.com/spreadsheets/d/1QqKyyYR6Q21VydFLVH3TRQUabQu_ym0Zz7PgGX0-kHA/edit?usp=sharing"",""แผน!R46"")"),15)</f>
        <v>15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IFERROR(__xludf.DUMMYFUNCTION("IMPORTRANGE(""https://docs.google.com/spreadsheets/d/1QqKyyYR6Q21VydFLVH3TRQUabQu_ym0Zz7PgGX0-kHA/edit?usp=sharing"",""แผน!R46"")"),15)</f>
        <v>15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IFERROR(__xludf.DUMMYFUNCTION("IMPORTRANGE(""https://docs.google.com/spreadsheets/d/1QqKyyYR6Q21VydFLVH3TRQUabQu_ym0Zz7PgGX0-kHA/edit?usp=sharing"",""แผน!R46"")"),15)</f>
        <v>15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IFERROR(__xludf.DUMMYFUNCTION("IMPORTRANGE(""https://docs.google.com/spreadsheets/d/1QqKyyYR6Q21VydFLVH3TRQUabQu_ym0Zz7PgGX0-kHA/edit?usp=sharing"",""แผน!S46"")"),1)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IFERROR(__xludf.DUMMYFUNCTION("IMPORTRANGE(""https://docs.google.com/spreadsheets/d/1QqKyyYR6Q21VydFLVH3TRQUabQu_ym0Zz7PgGX0-kHA/edit?usp=sharing"",""แผน!T46"")"),1)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>
      <c r="A118" s="957"/>
      <c r="B118" s="958" t="s">
        <v>65</v>
      </c>
      <c r="C118" s="1006"/>
      <c r="D118" s="960"/>
      <c r="E118" s="959"/>
      <c r="F118" s="959"/>
      <c r="G118" s="961"/>
      <c r="H118" s="205" t="s">
        <v>66</v>
      </c>
      <c r="I118" s="1007">
        <v>1</v>
      </c>
      <c r="J118" s="1007">
        <f>J438</f>
        <v>1</v>
      </c>
      <c r="K118" s="964">
        <f>IF(I118&gt;0,J118*100/I118,0)</f>
        <v>100</v>
      </c>
      <c r="L118" s="964"/>
      <c r="M118" s="964"/>
      <c r="N118" s="964"/>
      <c r="O118" s="964"/>
      <c r="P118" s="964"/>
    </row>
    <row r="119" spans="1:26" ht="19.5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IFERROR(__xludf.DUMMYFUNCTION("IMPORTRANGE(""https://docs.google.com/spreadsheets/d/1MeEWN-I1oV_STSDYn1IFDPWt_1FKiwhDph83XaGc0o0/edit?usp=sharing"",""งบพรบ!BA46"")"),0)</f>
        <v>0</v>
      </c>
      <c r="M124" s="870">
        <f ca="1">IFERROR(__xludf.DUMMYFUNCTION("IMPORTRANGE(""https://docs.google.com/spreadsheets/d/1MeEWN-I1oV_STSDYn1IFDPWt_1FKiwhDph83XaGc0o0/edit?usp=sharing"",""งบพรบ!BF46"")"),0)</f>
        <v>0</v>
      </c>
      <c r="N124" s="870">
        <f ca="1">IFERROR(__xludf.DUMMYFUNCTION("IMPORTRANGE(""https://docs.google.com/spreadsheets/d/1MeEWN-I1oV_STSDYn1IFDPWt_1FKiwhDph83XaGc0o0/edit?usp=sharing"",""งบพรบ!BH46"")"),0)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IFERROR(__xludf.DUMMYFUNCTION("IMPORTRANGE(""https://docs.google.com/spreadsheets/d/1MeEWN-I1oV_STSDYn1IFDPWt_1FKiwhDph83XaGc0o0/edit?usp=sharing"",""งบพรบ!BD46"")"),0)</f>
        <v>0</v>
      </c>
      <c r="M127" s="870">
        <f ca="1">IFERROR(__xludf.DUMMYFUNCTION("IMPORTRANGE(""https://docs.google.com/spreadsheets/d/1MeEWN-I1oV_STSDYn1IFDPWt_1FKiwhDph83XaGc0o0/edit?usp=sharing"",""งบพรบ!BG46"")"),0)</f>
        <v>0</v>
      </c>
      <c r="N127" s="870">
        <f ca="1">IFERROR(__xludf.DUMMYFUNCTION("IMPORTRANGE(""https://docs.google.com/spreadsheets/d/1MeEWN-I1oV_STSDYn1IFDPWt_1FKiwhDph83XaGc0o0/edit?usp=sharing"",""งบพรบ!BI46"")"),0)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IFERROR(__xludf.DUMMYFUNCTION("IMPORTRANGE(""https://docs.google.com/spreadsheets/d/1MeEWN-I1oV_STSDYn1IFDPWt_1FKiwhDph83XaGc0o0/edit?usp=sharing"",""งบพรบ!BK46"")"),0)</f>
        <v>0</v>
      </c>
      <c r="M137" s="870">
        <f ca="1">IFERROR(__xludf.DUMMYFUNCTION("IMPORTRANGE(""https://docs.google.com/spreadsheets/d/1MeEWN-I1oV_STSDYn1IFDPWt_1FKiwhDph83XaGc0o0/edit?usp=sharing"",""งบพรบ!BP46"")"),0)</f>
        <v>0</v>
      </c>
      <c r="N137" s="870">
        <f ca="1">IFERROR(__xludf.DUMMYFUNCTION("IMPORTRANGE(""https://docs.google.com/spreadsheets/d/1MeEWN-I1oV_STSDYn1IFDPWt_1FKiwhDph83XaGc0o0/edit?usp=sharing"",""งบพรบ!BR46"")"),0)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IFERROR(__xludf.DUMMYFUNCTION("IMPORTRANGE(""https://docs.google.com/spreadsheets/d/1MeEWN-I1oV_STSDYn1IFDPWt_1FKiwhDph83XaGc0o0/edit?usp=sharing"",""งบพรบ!BN46"")"),0)</f>
        <v>0</v>
      </c>
      <c r="M140" s="870">
        <f ca="1">IFERROR(__xludf.DUMMYFUNCTION("IMPORTRANGE(""https://docs.google.com/spreadsheets/d/1MeEWN-I1oV_STSDYn1IFDPWt_1FKiwhDph83XaGc0o0/edit?usp=sharing"",""งบพรบ!BQ46"")"),0)</f>
        <v>0</v>
      </c>
      <c r="N140" s="870">
        <f ca="1">IFERROR(__xludf.DUMMYFUNCTION("IMPORTRANGE(""https://docs.google.com/spreadsheets/d/1MeEWN-I1oV_STSDYn1IFDPWt_1FKiwhDph83XaGc0o0/edit?usp=sharing"",""งบพรบ!BS46"")"),0)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IFERROR(__xludf.DUMMYFUNCTION("IMPORTRANGE(""https://docs.google.com/spreadsheets/d/1QqKyyYR6Q21VydFLVH3TRQUabQu_ym0Zz7PgGX0-kHA/edit?usp=sharing"",""แผน!U46"")"),0)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IFERROR(__xludf.DUMMYFUNCTION("IMPORTRANGE(""https://docs.google.com/spreadsheets/d/1QqKyyYR6Q21VydFLVH3TRQUabQu_ym0Zz7PgGX0-kHA/edit?usp=sharing"",""แผน!V46"")"),0)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IFERROR(__xludf.DUMMYFUNCTION("IMPORTRANGE(""https://docs.google.com/spreadsheets/d/1QqKyyYR6Q21VydFLVH3TRQUabQu_ym0Zz7PgGX0-kHA/edit?usp=sharing"",""แผน!W46"")"),0)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IFERROR(__xludf.DUMMYFUNCTION("IMPORTRANGE(""https://docs.google.com/spreadsheets/d/1MeEWN-I1oV_STSDYn1IFDPWt_1FKiwhDph83XaGc0o0/edit?usp=sharing"",""งบพรบ!BU46"")"),0)</f>
        <v>0</v>
      </c>
      <c r="M154" s="870">
        <f ca="1">IFERROR(__xludf.DUMMYFUNCTION("IMPORTRANGE(""https://docs.google.com/spreadsheets/d/1MeEWN-I1oV_STSDYn1IFDPWt_1FKiwhDph83XaGc0o0/edit?usp=sharing"",""งบพรบ!BZ46"")"),0)</f>
        <v>0</v>
      </c>
      <c r="N154" s="870">
        <f ca="1">IFERROR(__xludf.DUMMYFUNCTION("IMPORTRANGE(""https://docs.google.com/spreadsheets/d/1MeEWN-I1oV_STSDYn1IFDPWt_1FKiwhDph83XaGc0o0/edit?usp=sharing"",""งบพรบ!CB46"")"),0)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IFERROR(__xludf.DUMMYFUNCTION("IMPORTRANGE(""https://docs.google.com/spreadsheets/d/1MeEWN-I1oV_STSDYn1IFDPWt_1FKiwhDph83XaGc0o0/edit?usp=sharing"",""งบพรบ!BX46"")"),0)</f>
        <v>0</v>
      </c>
      <c r="M157" s="870">
        <f ca="1">IFERROR(__xludf.DUMMYFUNCTION("IMPORTRANGE(""https://docs.google.com/spreadsheets/d/1MeEWN-I1oV_STSDYn1IFDPWt_1FKiwhDph83XaGc0o0/edit?usp=sharing"",""งบพรบ!CA46"")"),0)</f>
        <v>0</v>
      </c>
      <c r="N157" s="870">
        <f ca="1">IFERROR(__xludf.DUMMYFUNCTION("IMPORTRANGE(""https://docs.google.com/spreadsheets/d/1MeEWN-I1oV_STSDYn1IFDPWt_1FKiwhDph83XaGc0o0/edit?usp=sharing"",""งบพรบ!CC46"")"),0)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IFERROR(__xludf.DUMMYFUNCTION("IMPORTRANGE(""https://docs.google.com/spreadsheets/d/1QqKyyYR6Q21VydFLVH3TRQUabQu_ym0Zz7PgGX0-kHA/edit?usp=sharing"",""แผน!X46"")"),0)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36895</v>
      </c>
      <c r="N165" s="972">
        <f t="shared" ca="1" si="84"/>
        <v>35775</v>
      </c>
      <c r="O165" s="972">
        <f t="shared" ref="O165:O173" ca="1" si="85">IF(L165&gt;0,N165*100/L165,0)</f>
        <v>162.20811607345274</v>
      </c>
      <c r="P165" s="972">
        <f t="shared" ref="P165:P173" ca="1" si="86">IF(M165&gt;0,N165*100/M165,0)</f>
        <v>96.964358314134714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36895</v>
      </c>
      <c r="N167" s="870">
        <f t="shared" ca="1" si="87"/>
        <v>35775</v>
      </c>
      <c r="O167" s="870">
        <f t="shared" ca="1" si="85"/>
        <v>162.20811607345274</v>
      </c>
      <c r="P167" s="870">
        <f t="shared" ca="1" si="86"/>
        <v>96.964358314134714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36895</v>
      </c>
      <c r="N168" s="864">
        <f t="shared" ca="1" si="88"/>
        <v>35775</v>
      </c>
      <c r="O168" s="864">
        <f t="shared" ca="1" si="85"/>
        <v>162.20811607345274</v>
      </c>
      <c r="P168" s="864">
        <f t="shared" ca="1" si="86"/>
        <v>96.964358314134714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IFERROR(__xludf.DUMMYFUNCTION("IMPORTRANGE(""https://docs.google.com/spreadsheets/d/1MeEWN-I1oV_STSDYn1IFDPWt_1FKiwhDph83XaGc0o0/edit?usp=sharing"",""งบพรบ!CE46"")"),22055)</f>
        <v>22055</v>
      </c>
      <c r="M170" s="870">
        <f ca="1">IFERROR(__xludf.DUMMYFUNCTION("IMPORTRANGE(""https://docs.google.com/spreadsheets/d/1MeEWN-I1oV_STSDYn1IFDPWt_1FKiwhDph83XaGc0o0/edit?usp=sharing"",""งบพรบ!CJ46"")"),36895)</f>
        <v>36895</v>
      </c>
      <c r="N170" s="870">
        <f ca="1">IFERROR(__xludf.DUMMYFUNCTION("IMPORTRANGE(""https://docs.google.com/spreadsheets/d/1MeEWN-I1oV_STSDYn1IFDPWt_1FKiwhDph83XaGc0o0/edit?usp=sharing"",""งบพรบ!CL46"")"),35775)</f>
        <v>35775</v>
      </c>
      <c r="O170" s="870">
        <f t="shared" ca="1" si="85"/>
        <v>162.20811607345274</v>
      </c>
      <c r="P170" s="870">
        <f t="shared" ca="1" si="86"/>
        <v>96.964358314134714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IFERROR(__xludf.DUMMYFUNCTION("IMPORTRANGE(""https://docs.google.com/spreadsheets/d/1MeEWN-I1oV_STSDYn1IFDPWt_1FKiwhDph83XaGc0o0/edit?usp=sharing"",""งบพรบ!CH46"")"),0)</f>
        <v>0</v>
      </c>
      <c r="M173" s="870">
        <f ca="1">IFERROR(__xludf.DUMMYFUNCTION("IMPORTRANGE(""https://docs.google.com/spreadsheets/d/1MeEWN-I1oV_STSDYn1IFDPWt_1FKiwhDph83XaGc0o0/edit?usp=sharing"",""งบพรบ!CK46"")"),0)</f>
        <v>0</v>
      </c>
      <c r="N173" s="870">
        <f ca="1">IFERROR(__xludf.DUMMYFUNCTION("IMPORTRANGE(""https://docs.google.com/spreadsheets/d/1MeEWN-I1oV_STSDYn1IFDPWt_1FKiwhDph83XaGc0o0/edit?usp=sharing"",""งบพรบ!CM46"")"),0)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IFERROR(__xludf.DUMMYFUNCTION("IMPORTRANGE(""https://docs.google.com/spreadsheets/d/1QqKyyYR6Q21VydFLVH3TRQUabQu_ym0Zz7PgGX0-kHA/edit?usp=sharing"",""แผน!Y46"")"),11)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108400</v>
      </c>
      <c r="M181" s="972">
        <f t="shared" ca="1" si="92"/>
        <v>102500</v>
      </c>
      <c r="N181" s="972">
        <f t="shared" ca="1" si="92"/>
        <v>49989.25</v>
      </c>
      <c r="O181" s="972">
        <f t="shared" ref="O181:O189" ca="1" si="93">IF(L181&gt;0,N181*100/L181,0)</f>
        <v>46.115544280442805</v>
      </c>
      <c r="P181" s="972">
        <f t="shared" ref="P181:P189" ca="1" si="94">IF(M181&gt;0,N181*100/M181,0)</f>
        <v>48.77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108400</v>
      </c>
      <c r="M183" s="870">
        <f t="shared" ca="1" si="95"/>
        <v>102500</v>
      </c>
      <c r="N183" s="870">
        <f t="shared" ca="1" si="95"/>
        <v>49989.25</v>
      </c>
      <c r="O183" s="870">
        <f t="shared" ca="1" si="93"/>
        <v>46.115544280442805</v>
      </c>
      <c r="P183" s="870">
        <f t="shared" ca="1" si="94"/>
        <v>48.77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108400</v>
      </c>
      <c r="M184" s="864">
        <f t="shared" ca="1" si="96"/>
        <v>102500</v>
      </c>
      <c r="N184" s="864">
        <f t="shared" ca="1" si="96"/>
        <v>49989.25</v>
      </c>
      <c r="O184" s="864">
        <f t="shared" ca="1" si="93"/>
        <v>46.115544280442805</v>
      </c>
      <c r="P184" s="864">
        <f t="shared" ca="1" si="94"/>
        <v>48.77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IFERROR(__xludf.DUMMYFUNCTION("IMPORTRANGE(""https://docs.google.com/spreadsheets/d/1MeEWN-I1oV_STSDYn1IFDPWt_1FKiwhDph83XaGc0o0/edit?usp=sharing"",""งบพรบ!CO46"")"),108400)</f>
        <v>108400</v>
      </c>
      <c r="M186" s="870">
        <f ca="1">IFERROR(__xludf.DUMMYFUNCTION("IMPORTRANGE(""https://docs.google.com/spreadsheets/d/1MeEWN-I1oV_STSDYn1IFDPWt_1FKiwhDph83XaGc0o0/edit?usp=sharing"",""งบพรบ!CT46"")"),102500)</f>
        <v>102500</v>
      </c>
      <c r="N186" s="870">
        <f ca="1">IFERROR(__xludf.DUMMYFUNCTION("IMPORTRANGE(""https://docs.google.com/spreadsheets/d/1MeEWN-I1oV_STSDYn1IFDPWt_1FKiwhDph83XaGc0o0/edit?usp=sharing"",""งบพรบ!CV46"")"),49989.25)</f>
        <v>49989.25</v>
      </c>
      <c r="O186" s="870">
        <f t="shared" ca="1" si="93"/>
        <v>46.115544280442805</v>
      </c>
      <c r="P186" s="870">
        <f t="shared" ca="1" si="94"/>
        <v>48.77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IFERROR(__xludf.DUMMYFUNCTION("IMPORTRANGE(""https://docs.google.com/spreadsheets/d/1MeEWN-I1oV_STSDYn1IFDPWt_1FKiwhDph83XaGc0o0/edit?usp=sharing"",""งบพรบ!CR46"")"),0)</f>
        <v>0</v>
      </c>
      <c r="M189" s="870">
        <f ca="1">IFERROR(__xludf.DUMMYFUNCTION("IMPORTRANGE(""https://docs.google.com/spreadsheets/d/1MeEWN-I1oV_STSDYn1IFDPWt_1FKiwhDph83XaGc0o0/edit?usp=sharing"",""งบพรบ!CU46"")"),0)</f>
        <v>0</v>
      </c>
      <c r="N189" s="870">
        <f ca="1">IFERROR(__xludf.DUMMYFUNCTION("IMPORTRANGE(""https://docs.google.com/spreadsheets/d/1MeEWN-I1oV_STSDYn1IFDPWt_1FKiwhDph83XaGc0o0/edit?usp=sharing"",""งบพรบ!CW46"")"),0)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IFERROR(__xludf.DUMMYFUNCTION("IMPORTRANGE(""https://docs.google.com/spreadsheets/d/1QqKyyYR6Q21VydFLVH3TRQUabQu_ym0Zz7PgGX0-kHA/edit?usp=sharing"",""แผน!Z46"")"),6000)</f>
        <v>6000</v>
      </c>
      <c r="M191" s="972"/>
      <c r="N191" s="1060">
        <v>1000</v>
      </c>
      <c r="O191" s="972">
        <f ca="1">IF(L191&gt;0,N191*100/L191,0)</f>
        <v>16.666666666666668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IFERROR(__xludf.DUMMYFUNCTION("IMPORTRANGE(""https://docs.google.com/spreadsheets/d/1QqKyyYR6Q21VydFLVH3TRQUabQu_ym0Zz7PgGX0-kHA/edit?usp=sharing"",""แผน!AC46"")"),4)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46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46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23834</v>
      </c>
      <c r="O198" s="972">
        <f ca="1">IF(L198&gt;0,N198*100/L198,0)</f>
        <v>61.112820512820512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IFERROR(__xludf.DUMMYFUNCTION("IMPORTRANGE(""https://docs.google.com/spreadsheets/d/1QqKyyYR6Q21VydFLVH3TRQUabQu_ym0Zz7PgGX0-kHA/edit?usp=sharing"",""แผน!AE46"")"),3000)</f>
        <v>3000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IFERROR(__xludf.DUMMYFUNCTION("IMPORTRANGE(""https://docs.google.com/spreadsheets/d/1QqKyyYR6Q21VydFLVH3TRQUabQu_ym0Zz7PgGX0-kHA/edit?usp=sharing"",""แผน!AF46"")"),24000)</f>
        <v>24000</v>
      </c>
      <c r="M200" s="864"/>
      <c r="N200" s="1064">
        <v>23834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IFERROR(__xludf.DUMMYFUNCTION("IMPORTRANGE(""https://docs.google.com/spreadsheets/d/1QqKyyYR6Q21VydFLVH3TRQUabQu_ym0Zz7PgGX0-kHA/edit?usp=sharing"",""แผน!AG46"")"),12000)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IFERROR(__xludf.DUMMYFUNCTION("IMPORTRANGE(""https://docs.google.com/spreadsheets/d/1QqKyyYR6Q21VydFLVH3TRQUabQu_ym0Zz7PgGX0-kHA/edit?usp=sharing"",""แผน!AH46"")"),0)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IFERROR(__xludf.DUMMYFUNCTION("IMPORTRANGE(""https://docs.google.com/spreadsheets/d/1QqKyyYR6Q21VydFLVH3TRQUabQu_ym0Zz7PgGX0-kHA/edit?usp=sharing"",""แผน!AI46"")"),3)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4</v>
      </c>
      <c r="J208" s="1057">
        <f t="shared" si="101"/>
        <v>4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56000</v>
      </c>
      <c r="M209" s="972"/>
      <c r="N209" s="972">
        <f>N210+N211+N212</f>
        <v>25155.25</v>
      </c>
      <c r="O209" s="972">
        <f ca="1">IF(L209&gt;0,N209*100/L209,0)</f>
        <v>44.920089285714283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IFERROR(__xludf.DUMMYFUNCTION("IMPORTRANGE(""https://docs.google.com/spreadsheets/d/1QqKyyYR6Q21VydFLVH3TRQUabQu_ym0Zz7PgGX0-kHA/edit?usp=sharing"",""แผน!AK46"")"),4000)</f>
        <v>4000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IFERROR(__xludf.DUMMYFUNCTION("IMPORTRANGE(""https://docs.google.com/spreadsheets/d/1QqKyyYR6Q21VydFLVH3TRQUabQu_ym0Zz7PgGX0-kHA/edit?usp=sharing"",""แผน!AL46"")"),20000)</f>
        <v>20000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IFERROR(__xludf.DUMMYFUNCTION("IMPORTRANGE(""https://docs.google.com/spreadsheets/d/1QqKyyYR6Q21VydFLVH3TRQUabQu_ym0Zz7PgGX0-kHA/edit?usp=sharing"",""แผน!AM46"")"),32000)</f>
        <v>32000</v>
      </c>
      <c r="M212" s="864"/>
      <c r="N212" s="1064">
        <v>25155.25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IFERROR(__xludf.DUMMYFUNCTION("IMPORTRANGE(""https://docs.google.com/spreadsheets/d/1QqKyyYR6Q21VydFLVH3TRQUabQu_ym0Zz7PgGX0-kHA/edit?usp=sharing"",""แผน!AN46"")"),4)</f>
        <v>4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IFERROR(__xludf.DUMMYFUNCTION("IMPORTRANGE(""https://docs.google.com/spreadsheets/d/1QqKyyYR6Q21VydFLVH3TRQUabQu_ym0Zz7PgGX0-kHA/edit?usp=sharing"",""แผน!AN46"")"),4)</f>
        <v>4</v>
      </c>
      <c r="J215" s="992">
        <v>4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15000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7400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IFERROR(__xludf.DUMMYFUNCTION("IMPORTRANGE(""https://docs.google.com/spreadsheets/d/1QqKyyYR6Q21VydFLVH3TRQUabQu_ym0Zz7PgGX0-kHA/edit?usp=sharing"",""แผน!AP46"")"),3000)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IFERROR(__xludf.DUMMYFUNCTION("IMPORTRANGE(""https://docs.google.com/spreadsheets/d/1QqKyyYR6Q21VydFLVH3TRQUabQu_ym0Zz7PgGX0-kHA/edit?usp=sharing"",""แผน!AQ46"")"),4400)</f>
        <v>4400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IFERROR(__xludf.DUMMYFUNCTION("IMPORTRANGE(""https://docs.google.com/spreadsheets/d/1QqKyyYR6Q21VydFLVH3TRQUabQu_ym0Zz7PgGX0-kHA/edit?usp=sharing"",""แผน!AR46"")"),0)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IFERROR(__xludf.DUMMYFUNCTION("IMPORTRANGE(""https://docs.google.com/spreadsheets/d/1QqKyyYR6Q21VydFLVH3TRQUabQu_ym0Zz7PgGX0-kHA/edit?usp=sharing"",""แผน!AT46"")"),15000)</f>
        <v>15000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IFERROR(__xludf.DUMMYFUNCTION("IMPORTRANGE(""https://docs.google.com/spreadsheets/d/1QqKyyYR6Q21VydFLVH3TRQUabQu_ym0Zz7PgGX0-kHA/edit?usp=sharing"",""แผน!AT46"")"),15000)</f>
        <v>15000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IFERROR(__xludf.DUMMYFUNCTION("IMPORTRANGE(""https://docs.google.com/spreadsheets/d/1QqKyyYR6Q21VydFLVH3TRQUabQu_ym0Zz7PgGX0-kHA/edit?usp=sharing"",""แผน!AS46"")"),0)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IFERROR(__xludf.DUMMYFUNCTION("IMPORTRANGE(""https://docs.google.com/spreadsheets/d/1QqKyyYR6Q21VydFLVH3TRQUabQu_ym0Zz7PgGX0-kHA/edit?usp=sharing"",""แผน!AV46"")"),0)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IFERROR(__xludf.DUMMYFUNCTION("IMPORTRANGE(""https://docs.google.com/spreadsheets/d/1QqKyyYR6Q21VydFLVH3TRQUabQu_ym0Zz7PgGX0-kHA/edit?usp=sharing"",""แผน!AW46"")"),0)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IFERROR(__xludf.DUMMYFUNCTION("IMPORTRANGE(""https://docs.google.com/spreadsheets/d/1QqKyyYR6Q21VydFLVH3TRQUabQu_ym0Zz7PgGX0-kHA/edit?usp=sharing"",""แผน!AX46"")"),0)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IFERROR(__xludf.DUMMYFUNCTION("IMPORTRANGE(""https://docs.google.com/spreadsheets/d/1QqKyyYR6Q21VydFLVH3TRQUabQu_ym0Zz7PgGX0-kHA/edit?usp=sharing"",""แผน!AY46"")"),0)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IFERROR(__xludf.DUMMYFUNCTION("IMPORTRANGE(""https://docs.google.com/spreadsheets/d/1QqKyyYR6Q21VydFLVH3TRQUabQu_ym0Zz7PgGX0-kHA/edit?usp=sharing"",""แผน!BE46"")"),0)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IFERROR(__xludf.DUMMYFUNCTION("IMPORTRANGE(""https://docs.google.com/spreadsheets/d/1QqKyyYR6Q21VydFLVH3TRQUabQu_ym0Zz7PgGX0-kHA/edit?usp=sharing"",""แผน!AZ46"")"),0)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IFERROR(__xludf.DUMMYFUNCTION("IMPORTRANGE(""https://docs.google.com/spreadsheets/d/1QqKyyYR6Q21VydFLVH3TRQUabQu_ym0Zz7PgGX0-kHA/edit?usp=sharing"",""แผน!BA46"")"),0)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IFERROR(__xludf.DUMMYFUNCTION("IMPORTRANGE(""https://docs.google.com/spreadsheets/d/1QqKyyYR6Q21VydFLVH3TRQUabQu_ym0Zz7PgGX0-kHA/edit?usp=sharing"",""แผน!BB46"")"),0)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IFERROR(__xludf.DUMMYFUNCTION("IMPORTRANGE(""https://docs.google.com/spreadsheets/d/1QqKyyYR6Q21VydFLVH3TRQUabQu_ym0Zz7PgGX0-kHA/edit?usp=sharing"",""แผน!BC46"")"),0)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IFERROR(__xludf.DUMMYFUNCTION("IMPORTRANGE(""https://docs.google.com/spreadsheets/d/1QqKyyYR6Q21VydFLVH3TRQUabQu_ym0Zz7PgGX0-kHA/edit?usp=sharing"",""แผน!BF46"")"),0)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20475</v>
      </c>
      <c r="O261" s="972">
        <f t="shared" ref="O261:O269" ca="1" si="117">IF(L261&gt;0,N261*100/L261,0)</f>
        <v>76.115241635687738</v>
      </c>
      <c r="P261" s="972">
        <f t="shared" ref="P261:P269" ca="1" si="118">IF(M261&gt;0,N261*100/M261,0)</f>
        <v>85.669456066945614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20475</v>
      </c>
      <c r="O263" s="870">
        <f t="shared" ca="1" si="117"/>
        <v>76.115241635687738</v>
      </c>
      <c r="P263" s="870">
        <f t="shared" ca="1" si="118"/>
        <v>85.669456066945614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20475</v>
      </c>
      <c r="O264" s="864">
        <f t="shared" ca="1" si="117"/>
        <v>76.115241635687738</v>
      </c>
      <c r="P264" s="864">
        <f t="shared" ca="1" si="118"/>
        <v>85.669456066945614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IFERROR(__xludf.DUMMYFUNCTION("IMPORTRANGE(""https://docs.google.com/spreadsheets/d/1MeEWN-I1oV_STSDYn1IFDPWt_1FKiwhDph83XaGc0o0/edit?usp=sharing"",""งบพรบ!CY46"")"),26900)</f>
        <v>26900</v>
      </c>
      <c r="M266" s="870">
        <f ca="1">IFERROR(__xludf.DUMMYFUNCTION("IMPORTRANGE(""https://docs.google.com/spreadsheets/d/1MeEWN-I1oV_STSDYn1IFDPWt_1FKiwhDph83XaGc0o0/edit?usp=sharing"",""งบพรบ!DD46"")"),23900)</f>
        <v>23900</v>
      </c>
      <c r="N266" s="870">
        <f ca="1">IFERROR(__xludf.DUMMYFUNCTION("IMPORTRANGE(""https://docs.google.com/spreadsheets/d/1MeEWN-I1oV_STSDYn1IFDPWt_1FKiwhDph83XaGc0o0/edit?usp=sharing"",""งบพรบ!DF46"")"),20475)</f>
        <v>20475</v>
      </c>
      <c r="O266" s="870">
        <f t="shared" ca="1" si="117"/>
        <v>76.115241635687738</v>
      </c>
      <c r="P266" s="870">
        <f t="shared" ca="1" si="118"/>
        <v>85.669456066945614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IFERROR(__xludf.DUMMYFUNCTION("IMPORTRANGE(""https://docs.google.com/spreadsheets/d/1MeEWN-I1oV_STSDYn1IFDPWt_1FKiwhDph83XaGc0o0/edit?usp=sharing"",""งบพรบ!DB46"")"),0)</f>
        <v>0</v>
      </c>
      <c r="M269" s="870">
        <f ca="1">IFERROR(__xludf.DUMMYFUNCTION("IMPORTRANGE(""https://docs.google.com/spreadsheets/d/1MeEWN-I1oV_STSDYn1IFDPWt_1FKiwhDph83XaGc0o0/edit?usp=sharing"",""งบพรบ!DE46"")"),0)</f>
        <v>0</v>
      </c>
      <c r="N269" s="870">
        <f ca="1">IFERROR(__xludf.DUMMYFUNCTION("IMPORTRANGE(""https://docs.google.com/spreadsheets/d/1MeEWN-I1oV_STSDYn1IFDPWt_1FKiwhDph83XaGc0o0/edit?usp=sharing"",""งบพรบ!DG46"")"),0)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IFERROR(__xludf.DUMMYFUNCTION("IMPORTRANGE(""https://docs.google.com/spreadsheets/d/1QqKyyYR6Q21VydFLVH3TRQUabQu_ym0Zz7PgGX0-kHA/edit?usp=sharing"",""แผน!EA46"")"),22)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25</v>
      </c>
      <c r="J275" s="1138">
        <f t="shared" ca="1" si="122"/>
        <v>25</v>
      </c>
      <c r="K275" s="1139">
        <f t="shared" ref="K275:K276" ca="1" si="123">IF(I275&gt;0,J275*100/I275,0)</f>
        <v>100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250</v>
      </c>
      <c r="J276" s="1138">
        <f t="shared" si="124"/>
        <v>250</v>
      </c>
      <c r="K276" s="1139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542220</v>
      </c>
      <c r="M277" s="972">
        <f t="shared" ca="1" si="125"/>
        <v>376020</v>
      </c>
      <c r="N277" s="972">
        <f t="shared" ca="1" si="125"/>
        <v>240557.9</v>
      </c>
      <c r="O277" s="972">
        <f t="shared" ref="O277:O285" ca="1" si="126">IF(L277&gt;0,N277*100/L277,0)</f>
        <v>44.365368300689759</v>
      </c>
      <c r="P277" s="972">
        <f t="shared" ref="P277:P285" ca="1" si="127">IF(M277&gt;0,N277*100/M277,0)</f>
        <v>63.974761980745704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542220</v>
      </c>
      <c r="M279" s="870">
        <f t="shared" ca="1" si="128"/>
        <v>376020</v>
      </c>
      <c r="N279" s="870">
        <f t="shared" ca="1" si="128"/>
        <v>240557.9</v>
      </c>
      <c r="O279" s="870">
        <f t="shared" ca="1" si="126"/>
        <v>44.365368300689759</v>
      </c>
      <c r="P279" s="870">
        <f t="shared" ca="1" si="127"/>
        <v>63.974761980745704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542220</v>
      </c>
      <c r="M280" s="864">
        <f t="shared" ca="1" si="129"/>
        <v>376020</v>
      </c>
      <c r="N280" s="864">
        <f t="shared" ca="1" si="129"/>
        <v>240557.9</v>
      </c>
      <c r="O280" s="864">
        <f t="shared" ca="1" si="126"/>
        <v>44.365368300689759</v>
      </c>
      <c r="P280" s="864">
        <f t="shared" ca="1" si="127"/>
        <v>63.974761980745704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IFERROR(__xludf.DUMMYFUNCTION("IMPORTRANGE(""https://docs.google.com/spreadsheets/d/1MeEWN-I1oV_STSDYn1IFDPWt_1FKiwhDph83XaGc0o0/edit?usp=sharing"",""งบพรบ!DI46"")"),542220)</f>
        <v>542220</v>
      </c>
      <c r="M282" s="870">
        <f ca="1">IFERROR(__xludf.DUMMYFUNCTION("IMPORTRANGE(""https://docs.google.com/spreadsheets/d/1MeEWN-I1oV_STSDYn1IFDPWt_1FKiwhDph83XaGc0o0/edit?usp=sharing"",""งบพรบ!DN46"")"),376020)</f>
        <v>376020</v>
      </c>
      <c r="N282" s="870">
        <f ca="1">IFERROR(__xludf.DUMMYFUNCTION("IMPORTRANGE(""https://docs.google.com/spreadsheets/d/1MeEWN-I1oV_STSDYn1IFDPWt_1FKiwhDph83XaGc0o0/edit?usp=sharing"",""งบพรบ!DP46"")"),240557.9)</f>
        <v>240557.9</v>
      </c>
      <c r="O282" s="870">
        <f t="shared" ca="1" si="126"/>
        <v>44.365368300689759</v>
      </c>
      <c r="P282" s="870">
        <f t="shared" ca="1" si="127"/>
        <v>63.974761980745704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IFERROR(__xludf.DUMMYFUNCTION("IMPORTRANGE(""https://docs.google.com/spreadsheets/d/1MeEWN-I1oV_STSDYn1IFDPWt_1FKiwhDph83XaGc0o0/edit?usp=sharing"",""งบพรบ!DL46"")"),0)</f>
        <v>0</v>
      </c>
      <c r="M285" s="870">
        <f ca="1">IFERROR(__xludf.DUMMYFUNCTION("IMPORTRANGE(""https://docs.google.com/spreadsheets/d/1MeEWN-I1oV_STSDYn1IFDPWt_1FKiwhDph83XaGc0o0/edit?usp=sharing"",""งบพรบ!DO46"")"),0)</f>
        <v>0</v>
      </c>
      <c r="N285" s="870">
        <f ca="1">IFERROR(__xludf.DUMMYFUNCTION("IMPORTRANGE(""https://docs.google.com/spreadsheets/d/1MeEWN-I1oV_STSDYn1IFDPWt_1FKiwhDph83XaGc0o0/edit?usp=sharing"",""งบพรบ!DQ46"")"),0)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IFERROR(__xludf.DUMMYFUNCTION("IMPORTRANGE(""https://docs.google.com/spreadsheets/d/1QqKyyYR6Q21VydFLVH3TRQUabQu_ym0Zz7PgGX0-kHA/edit?usp=sharing"",""แผน!EC46"")"),250)</f>
        <v>250</v>
      </c>
      <c r="J287" s="992">
        <v>250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IFERROR(__xludf.DUMMYFUNCTION("IMPORTRANGE(""https://docs.google.com/spreadsheets/d/1QqKyyYR6Q21VydFLVH3TRQUabQu_ym0Zz7PgGX0-kHA/edit?usp=sharing"",""แผน!EB46"")"),25)</f>
        <v>25</v>
      </c>
      <c r="J288" s="999">
        <f ca="1">IF(AND(J291&gt;=I288,J294&gt;=I288),J294,0)</f>
        <v>25</v>
      </c>
      <c r="K288" s="1142">
        <f t="shared" ca="1" si="131"/>
        <v>100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IFERROR(__xludf.DUMMYFUNCTION("IMPORTRANGE(""https://docs.google.com/spreadsheets/d/1QqKyyYR6Q21VydFLVH3TRQUabQu_ym0Zz7PgGX0-kHA/edit?usp=sharing"",""แผน!EB46"")"),25)</f>
        <v>25</v>
      </c>
      <c r="J290" s="992">
        <v>25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IFERROR(__xludf.DUMMYFUNCTION("IMPORTRANGE(""https://docs.google.com/spreadsheets/d/1QqKyyYR6Q21VydFLVH3TRQUabQu_ym0Zz7PgGX0-kHA/edit?usp=sharing"",""แผน!EB46"")"),25)</f>
        <v>25</v>
      </c>
      <c r="J291" s="992">
        <v>25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IFERROR(__xludf.DUMMYFUNCTION("IMPORTRANGE(""https://docs.google.com/spreadsheets/d/1QqKyyYR6Q21VydFLVH3TRQUabQu_ym0Zz7PgGX0-kHA/edit?usp=sharing"",""แผน!EB46"")"),25)</f>
        <v>25</v>
      </c>
      <c r="J293" s="992">
        <v>25</v>
      </c>
      <c r="K293" s="978">
        <f t="shared" ref="K293:K294" ca="1" si="133">IF(I293&gt;0,J293*100/I293,0)</f>
        <v>100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IFERROR(__xludf.DUMMYFUNCTION("IMPORTRANGE(""https://docs.google.com/spreadsheets/d/1QqKyyYR6Q21VydFLVH3TRQUabQu_ym0Zz7PgGX0-kHA/edit?usp=sharing"",""แผน!EB46"")"),25)</f>
        <v>25</v>
      </c>
      <c r="J294" s="1151">
        <v>25</v>
      </c>
      <c r="K294" s="1118">
        <f t="shared" ca="1" si="133"/>
        <v>100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64400</v>
      </c>
      <c r="O298" s="972">
        <f t="shared" ref="O298:O306" ca="1" si="136">IF(L298&gt;0,N298*100/L298,0)</f>
        <v>78.15533980582525</v>
      </c>
      <c r="P298" s="972">
        <f t="shared" ref="P298:P306" ca="1" si="137">IF(M298&gt;0,N298*100/M298,0)</f>
        <v>100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64400</v>
      </c>
      <c r="O300" s="870">
        <f t="shared" ca="1" si="136"/>
        <v>78.15533980582525</v>
      </c>
      <c r="P300" s="870">
        <f t="shared" ca="1" si="137"/>
        <v>100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64400</v>
      </c>
      <c r="O301" s="864">
        <f t="shared" ca="1" si="136"/>
        <v>78.15533980582525</v>
      </c>
      <c r="P301" s="864">
        <f t="shared" ca="1" si="137"/>
        <v>100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IFERROR(__xludf.DUMMYFUNCTION("IMPORTRANGE(""https://docs.google.com/spreadsheets/d/1MeEWN-I1oV_STSDYn1IFDPWt_1FKiwhDph83XaGc0o0/edit?usp=sharing"",""งบพรบ!DS46"")"),82400)</f>
        <v>82400</v>
      </c>
      <c r="M303" s="870">
        <f ca="1">IFERROR(__xludf.DUMMYFUNCTION("IMPORTRANGE(""https://docs.google.com/spreadsheets/d/1MeEWN-I1oV_STSDYn1IFDPWt_1FKiwhDph83XaGc0o0/edit?usp=sharing"",""งบพรบ!DX46"")"),64400)</f>
        <v>64400</v>
      </c>
      <c r="N303" s="870">
        <f ca="1">IFERROR(__xludf.DUMMYFUNCTION("IMPORTRANGE(""https://docs.google.com/spreadsheets/d/1MeEWN-I1oV_STSDYn1IFDPWt_1FKiwhDph83XaGc0o0/edit?usp=sharing"",""งบพรบ!DZ46"")"),64400)</f>
        <v>64400</v>
      </c>
      <c r="O303" s="870">
        <f t="shared" ca="1" si="136"/>
        <v>78.15533980582525</v>
      </c>
      <c r="P303" s="870">
        <f t="shared" ca="1" si="137"/>
        <v>100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IFERROR(__xludf.DUMMYFUNCTION("IMPORTRANGE(""https://docs.google.com/spreadsheets/d/1MeEWN-I1oV_STSDYn1IFDPWt_1FKiwhDph83XaGc0o0/edit?usp=sharing"",""งบพรบ!DV46"")"),0)</f>
        <v>0</v>
      </c>
      <c r="M306" s="870">
        <f ca="1">IFERROR(__xludf.DUMMYFUNCTION("IMPORTRANGE(""https://docs.google.com/spreadsheets/d/1MeEWN-I1oV_STSDYn1IFDPWt_1FKiwhDph83XaGc0o0/edit?usp=sharing"",""งบพรบ!DY46"")"),0)</f>
        <v>0</v>
      </c>
      <c r="N306" s="870">
        <f ca="1">IFERROR(__xludf.DUMMYFUNCTION("IMPORTRANGE(""https://docs.google.com/spreadsheets/d/1MeEWN-I1oV_STSDYn1IFDPWt_1FKiwhDph83XaGc0o0/edit?usp=sharing"",""งบพรบ!EA46"")"),0)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/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IFERROR(__xludf.DUMMYFUNCTION("IMPORTRANGE(""https://docs.google.com/spreadsheets/d/1QqKyyYR6Q21VydFLVH3TRQUabQu_ym0Zz7PgGX0-kHA/edit?usp=sharing"",""แผน!ED46"")"),20)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IFERROR(__xludf.DUMMYFUNCTION("IMPORTRANGE(""https://docs.google.com/spreadsheets/d/1QqKyyYR6Q21VydFLVH3TRQUabQu_ym0Zz7PgGX0-kHA/edit?usp=sharing"",""แผน!ED46"")"),20)</f>
        <v>20</v>
      </c>
      <c r="J310" s="992">
        <v>20</v>
      </c>
      <c r="K310" s="864">
        <f t="shared" ca="1" si="141"/>
        <v>100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IFERROR(__xludf.DUMMYFUNCTION("IMPORTRANGE(""https://docs.google.com/spreadsheets/d/1QqKyyYR6Q21VydFLVH3TRQUabQu_ym0Zz7PgGX0-kHA/edit?usp=sharing"",""แผน!ED46"")"),20)</f>
        <v>20</v>
      </c>
      <c r="J311" s="992"/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IFERROR(__xludf.DUMMYFUNCTION("IMPORTRANGE(""https://docs.google.com/spreadsheets/d/1QqKyyYR6Q21VydFLVH3TRQUabQu_ym0Zz7PgGX0-kHA/edit?usp=sharing"",""แผน!EE46"")"),4)</f>
        <v>4</v>
      </c>
      <c r="J312" s="992">
        <v>4</v>
      </c>
      <c r="K312" s="864">
        <f t="shared" ca="1" si="141"/>
        <v>100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IFERROR(__xludf.DUMMYFUNCTION("IMPORTRANGE(""https://docs.google.com/spreadsheets/d/1MeEWN-I1oV_STSDYn1IFDPWt_1FKiwhDph83XaGc0o0/edit?usp=sharing"",""งบพรบ!EC46"")"),0)</f>
        <v>0</v>
      </c>
      <c r="M320" s="870">
        <f ca="1">IFERROR(__xludf.DUMMYFUNCTION("IMPORTRANGE(""https://docs.google.com/spreadsheets/d/1MeEWN-I1oV_STSDYn1IFDPWt_1FKiwhDph83XaGc0o0/edit?usp=sharing"",""งบพรบ!EH46"")"),0)</f>
        <v>0</v>
      </c>
      <c r="N320" s="870">
        <f ca="1">IFERROR(__xludf.DUMMYFUNCTION("IMPORTRANGE(""https://docs.google.com/spreadsheets/d/1MeEWN-I1oV_STSDYn1IFDPWt_1FKiwhDph83XaGc0o0/edit?usp=sharing"",""งบพรบ!EJ46"")"),0)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IFERROR(__xludf.DUMMYFUNCTION("IMPORTRANGE(""https://docs.google.com/spreadsheets/d/1MeEWN-I1oV_STSDYn1IFDPWt_1FKiwhDph83XaGc0o0/edit?usp=sharing"",""งบพรบ!EF46"")"),0)</f>
        <v>0</v>
      </c>
      <c r="M323" s="870">
        <f ca="1">IFERROR(__xludf.DUMMYFUNCTION("IMPORTRANGE(""https://docs.google.com/spreadsheets/d/1MeEWN-I1oV_STSDYn1IFDPWt_1FKiwhDph83XaGc0o0/edit?usp=sharing"",""งบพรบ!EI46"")"),0)</f>
        <v>0</v>
      </c>
      <c r="N323" s="870">
        <f ca="1">IFERROR(__xludf.DUMMYFUNCTION("IMPORTRANGE(""https://docs.google.com/spreadsheets/d/1MeEWN-I1oV_STSDYn1IFDPWt_1FKiwhDph83XaGc0o0/edit?usp=sharing"",""งบพรบ!EK46"")"),0)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IFERROR(__xludf.DUMMYFUNCTION("IMPORTRANGE(""https://docs.google.com/spreadsheets/d/1QqKyyYR6Q21VydFLVH3TRQUabQu_ym0Zz7PgGX0-kHA/edit?usp=sharing"",""แผน!EF46"")"),0)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IFERROR(__xludf.DUMMYFUNCTION("IMPORTRANGE(""https://docs.google.com/spreadsheets/d/1QqKyyYR6Q21VydFLVH3TRQUabQu_ym0Zz7PgGX0-kHA/edit?usp=sharing"",""แผน!EG46"")"),5300)</f>
        <v>5300</v>
      </c>
      <c r="J327" s="1170">
        <f ca="1">J338+J341+J342+J343</f>
        <v>2749</v>
      </c>
      <c r="K327" s="1171">
        <f ca="1">IF(I327&gt;0,J327*100/I327,0)</f>
        <v>51.867924528301884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178000</v>
      </c>
      <c r="M328" s="972">
        <f t="shared" ca="1" si="149"/>
        <v>136000</v>
      </c>
      <c r="N328" s="972">
        <f t="shared" ca="1" si="149"/>
        <v>85766</v>
      </c>
      <c r="O328" s="972">
        <f t="shared" ref="O328:O336" ca="1" si="150">IF(L328&gt;0,N328*100/L328,0)</f>
        <v>48.183146067415727</v>
      </c>
      <c r="P328" s="972">
        <f t="shared" ref="P328:P336" ca="1" si="151">IF(M328&gt;0,N328*100/M328,0)</f>
        <v>63.063235294117646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178000</v>
      </c>
      <c r="M330" s="870">
        <f t="shared" ca="1" si="152"/>
        <v>136000</v>
      </c>
      <c r="N330" s="870">
        <f t="shared" ca="1" si="152"/>
        <v>85766</v>
      </c>
      <c r="O330" s="870">
        <f t="shared" ca="1" si="150"/>
        <v>48.183146067415727</v>
      </c>
      <c r="P330" s="870">
        <f t="shared" ca="1" si="151"/>
        <v>63.063235294117646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178000</v>
      </c>
      <c r="M331" s="864">
        <f t="shared" ca="1" si="153"/>
        <v>136000</v>
      </c>
      <c r="N331" s="864">
        <f t="shared" ca="1" si="153"/>
        <v>85766</v>
      </c>
      <c r="O331" s="864">
        <f t="shared" ca="1" si="150"/>
        <v>48.183146067415727</v>
      </c>
      <c r="P331" s="864">
        <f t="shared" ca="1" si="151"/>
        <v>63.063235294117646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IFERROR(__xludf.DUMMYFUNCTION("IMPORTRANGE(""https://docs.google.com/spreadsheets/d/1MeEWN-I1oV_STSDYn1IFDPWt_1FKiwhDph83XaGc0o0/edit?usp=sharing"",""งบพรบ!EM46"")"),178000)</f>
        <v>178000</v>
      </c>
      <c r="M333" s="870">
        <f ca="1">IFERROR(__xludf.DUMMYFUNCTION("IMPORTRANGE(""https://docs.google.com/spreadsheets/d/1MeEWN-I1oV_STSDYn1IFDPWt_1FKiwhDph83XaGc0o0/edit?usp=sharing"",""งบพรบ!ER46"")"),136000)</f>
        <v>136000</v>
      </c>
      <c r="N333" s="870">
        <f ca="1">IFERROR(__xludf.DUMMYFUNCTION("IMPORTRANGE(""https://docs.google.com/spreadsheets/d/1MeEWN-I1oV_STSDYn1IFDPWt_1FKiwhDph83XaGc0o0/edit?usp=sharing"",""งบพรบ!ET46"")"),85766)</f>
        <v>85766</v>
      </c>
      <c r="O333" s="870">
        <f t="shared" ca="1" si="150"/>
        <v>48.183146067415727</v>
      </c>
      <c r="P333" s="870">
        <f t="shared" ca="1" si="151"/>
        <v>63.063235294117646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IFERROR(__xludf.DUMMYFUNCTION("IMPORTRANGE(""https://docs.google.com/spreadsheets/d/1MeEWN-I1oV_STSDYn1IFDPWt_1FKiwhDph83XaGc0o0/edit?usp=sharing"",""งบพรบ!EP46"")"),0)</f>
        <v>0</v>
      </c>
      <c r="M336" s="870">
        <f ca="1">IFERROR(__xludf.DUMMYFUNCTION("IMPORTRANGE(""https://docs.google.com/spreadsheets/d/1MeEWN-I1oV_STSDYn1IFDPWt_1FKiwhDph83XaGc0o0/edit?usp=sharing"",""งบพรบ!ES46"")"),0)</f>
        <v>0</v>
      </c>
      <c r="N336" s="870">
        <f ca="1">IFERROR(__xludf.DUMMYFUNCTION("IMPORTRANGE(""https://docs.google.com/spreadsheets/d/1MeEWN-I1oV_STSDYn1IFDPWt_1FKiwhDph83XaGc0o0/edit?usp=sharing"",""งบพรบ!EU46"")"),0)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IFERROR(__xludf.DUMMYFUNCTION("IMPORTRANGE(""https://docs.google.com/spreadsheets/d/1QqKyyYR6Q21VydFLVH3TRQUabQu_ym0Zz7PgGX0-kHA/edit?usp=sharing"",""แผน!EG46"")"),5300)</f>
        <v>5300</v>
      </c>
      <c r="J338" s="863">
        <f ca="1">IFERROR(__xludf.DUMMYFUNCTION("IMPORTRANGE(""https://docs.google.com/spreadsheets/d/1kVcqe37tkHyjCSG3S0O1AXqVkqjo8mSIZil3BcpIysc/edit?usp=sharing"",""ศูนย์!D46"")"),2720)</f>
        <v>2720</v>
      </c>
      <c r="K338" s="864">
        <f ca="1">IF(I338&gt;0,J338*100/I338,0)</f>
        <v>51.320754716981135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IFERROR(__xludf.DUMMYFUNCTION("IMPORTRANGE(""https://docs.google.com/spreadsheets/d/1QqKyyYR6Q21VydFLVH3TRQUabQu_ym0Zz7PgGX0-kHA/edit?usp=sharing"",""แผน!EH46"")"),5)</f>
        <v>5</v>
      </c>
      <c r="J340" s="863">
        <f ca="1">IFERROR(__xludf.DUMMYFUNCTION("IMPORTRANGE(""https://docs.google.com/spreadsheets/d/1kVcqe37tkHyjCSG3S0O1AXqVkqjo8mSIZil3BcpIysc/edit?usp=sharing"",""ศูนย์!E46"")"),0)</f>
        <v>0</v>
      </c>
      <c r="K340" s="864">
        <f ca="1">IF(I340&gt;0,J340*100/I340,0)</f>
        <v>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IFERROR(__xludf.DUMMYFUNCTION("IMPORTRANGE(""https://docs.google.com/spreadsheets/d/1kVcqe37tkHyjCSG3S0O1AXqVkqjo8mSIZil3BcpIysc/edit?usp=sharing"",""ศูนย์!F46"")"),0)</f>
        <v>0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IFERROR(__xludf.DUMMYFUNCTION("IMPORTRANGE(""https://docs.google.com/spreadsheets/d/1kVcqe37tkHyjCSG3S0O1AXqVkqjo8mSIZil3BcpIysc/edit?usp=sharing"",""ศูนย์!G46"")"),0)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IFERROR(__xludf.DUMMYFUNCTION("IMPORTRANGE(""https://docs.google.com/spreadsheets/d/1kVcqe37tkHyjCSG3S0O1AXqVkqjo8mSIZil3BcpIysc/edit?usp=sharing"",""ศูนย์!H46"")"),29)</f>
        <v>29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2144960</v>
      </c>
      <c r="M345" s="972">
        <f t="shared" ca="1" si="155"/>
        <v>1798016</v>
      </c>
      <c r="N345" s="972">
        <f t="shared" ca="1" si="155"/>
        <v>983375.6</v>
      </c>
      <c r="O345" s="972">
        <f t="shared" ref="O345:O353" ca="1" si="156">IF(L345&gt;0,N345*100/L345,0)</f>
        <v>45.845871251678354</v>
      </c>
      <c r="P345" s="972">
        <f t="shared" ref="P345:P353" ca="1" si="157">IF(M345&gt;0,N345*100/M345,0)</f>
        <v>54.692260803018435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2144960</v>
      </c>
      <c r="M347" s="870">
        <f t="shared" ca="1" si="158"/>
        <v>1798016</v>
      </c>
      <c r="N347" s="870">
        <f t="shared" ca="1" si="158"/>
        <v>983375.6</v>
      </c>
      <c r="O347" s="870">
        <f t="shared" ca="1" si="156"/>
        <v>45.845871251678354</v>
      </c>
      <c r="P347" s="870">
        <f t="shared" ca="1" si="157"/>
        <v>54.692260803018435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1977760</v>
      </c>
      <c r="M348" s="864">
        <f t="shared" ca="1" si="159"/>
        <v>1632996</v>
      </c>
      <c r="N348" s="864">
        <f t="shared" ca="1" si="159"/>
        <v>818355.6</v>
      </c>
      <c r="O348" s="864">
        <f t="shared" ca="1" si="156"/>
        <v>41.377902273278863</v>
      </c>
      <c r="P348" s="864">
        <f t="shared" ca="1" si="157"/>
        <v>50.113754105950044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IFERROR(__xludf.DUMMYFUNCTION("IMPORTRANGE(""https://docs.google.com/spreadsheets/d/1MeEWN-I1oV_STSDYn1IFDPWt_1FKiwhDph83XaGc0o0/edit?usp=sharing"",""งบพรบ!EW46"")"),1977760)</f>
        <v>1977760</v>
      </c>
      <c r="M350" s="870">
        <f ca="1">IFERROR(__xludf.DUMMYFUNCTION("IMPORTRANGE(""https://docs.google.com/spreadsheets/d/1MeEWN-I1oV_STSDYn1IFDPWt_1FKiwhDph83XaGc0o0/edit?usp=sharing"",""งบพรบ!FB46"")"),1632996)</f>
        <v>1632996</v>
      </c>
      <c r="N350" s="870">
        <f ca="1">IFERROR(__xludf.DUMMYFUNCTION("IMPORTRANGE(""https://docs.google.com/spreadsheets/d/1MeEWN-I1oV_STSDYn1IFDPWt_1FKiwhDph83XaGc0o0/edit?usp=sharing"",""งบพรบ!FD46"")"),818355.6)</f>
        <v>818355.6</v>
      </c>
      <c r="O350" s="870">
        <f t="shared" ca="1" si="156"/>
        <v>41.377902273278863</v>
      </c>
      <c r="P350" s="870">
        <f t="shared" ca="1" si="157"/>
        <v>50.113754105950044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167200</v>
      </c>
      <c r="M351" s="864">
        <f t="shared" ca="1" si="160"/>
        <v>165020</v>
      </c>
      <c r="N351" s="864">
        <f t="shared" ca="1" si="160"/>
        <v>165020</v>
      </c>
      <c r="O351" s="864">
        <f t="shared" ca="1" si="156"/>
        <v>98.696172248803833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IFERROR(__xludf.DUMMYFUNCTION("IMPORTRANGE(""https://docs.google.com/spreadsheets/d/1MeEWN-I1oV_STSDYn1IFDPWt_1FKiwhDph83XaGc0o0/edit?usp=sharing"",""งบพรบ!EZ46"")"),167200)</f>
        <v>167200</v>
      </c>
      <c r="M353" s="870">
        <f ca="1">IFERROR(__xludf.DUMMYFUNCTION("IMPORTRANGE(""https://docs.google.com/spreadsheets/d/1MeEWN-I1oV_STSDYn1IFDPWt_1FKiwhDph83XaGc0o0/edit?usp=sharing"",""งบพรบ!FC46"")"),165020)</f>
        <v>165020</v>
      </c>
      <c r="N353" s="870">
        <f ca="1">IFERROR(__xludf.DUMMYFUNCTION("IMPORTRANGE(""https://docs.google.com/spreadsheets/d/1MeEWN-I1oV_STSDYn1IFDPWt_1FKiwhDph83XaGc0o0/edit?usp=sharing"",""งบพรบ!FE46"")"),165020)</f>
        <v>165020</v>
      </c>
      <c r="O353" s="870">
        <f t="shared" ca="1" si="156"/>
        <v>98.696172248803833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IFERROR(__xludf.DUMMYFUNCTION("IMPORTRANGE(""https://docs.google.com/spreadsheets/d/1QqKyyYR6Q21VydFLVH3TRQUabQu_ym0Zz7PgGX0-kHA/edit?usp=sharing"",""แผน!EP46"")"),1000)</f>
        <v>1000</v>
      </c>
      <c r="J355" s="1186">
        <f ca="1">J362</f>
        <v>240</v>
      </c>
      <c r="K355" s="1187">
        <f ca="1">IF(I355&gt;0,J355*100/I355,0)</f>
        <v>24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IFERROR(__xludf.DUMMYFUNCTION("IMPORTRANGE(""https://docs.google.com/spreadsheets/d/1XWAQStnk-4SwqDmLtmXYiTMKHgktTP8We1SCoS47DrQ/edit?usp=sharing"",""จัดที่ดิน!W46"")"),571)</f>
        <v>571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IFERROR(__xludf.DUMMYFUNCTION("IMPORTRANGE(""https://docs.google.com/spreadsheets/d/1QqKyyYR6Q21VydFLVH3TRQUabQu_ym0Zz7PgGX0-kHA/edit?usp=sharing"",""แผน!EO46"")"),10000)</f>
        <v>10000</v>
      </c>
      <c r="J359" s="863">
        <f ca="1">IFERROR(__xludf.DUMMYFUNCTION("IMPORTRANGE(""https://docs.google.com/spreadsheets/d/1XWAQStnk-4SwqDmLtmXYiTMKHgktTP8We1SCoS47DrQ/edit?usp=sharing"",""จัดที่ดิน!X46"")"),3816.79999999999)</f>
        <v>3816.7999999999902</v>
      </c>
      <c r="K359" s="864">
        <f t="shared" ca="1" si="161"/>
        <v>38.1679999999999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IFERROR(__xludf.DUMMYFUNCTION("IMPORTRANGE(""https://docs.google.com/spreadsheets/d/1QqKyyYR6Q21VydFLVH3TRQUabQu_ym0Zz7PgGX0-kHA/edit?usp=sharing"",""แผน!EP46"")"),1000)</f>
        <v>1000</v>
      </c>
      <c r="J360" s="863">
        <f ca="1">IFERROR(__xludf.DUMMYFUNCTION("IMPORTRANGE(""https://docs.google.com/spreadsheets/d/1XWAQStnk-4SwqDmLtmXYiTMKHgktTP8We1SCoS47DrQ/edit?usp=sharing"",""จัดที่ดิน!Y46"")"),396)</f>
        <v>396</v>
      </c>
      <c r="K360" s="864">
        <f t="shared" ca="1" si="161"/>
        <v>39.6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IFERROR(__xludf.DUMMYFUNCTION("IMPORTRANGE(""https://docs.google.com/spreadsheets/d/1XWAQStnk-4SwqDmLtmXYiTMKHgktTP8We1SCoS47DrQ/edit?usp=sharing"",""จัดที่ดิน!Z46"")"),2670.27)</f>
        <v>2670.27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IFERROR(__xludf.DUMMYFUNCTION("IMPORTRANGE(""https://docs.google.com/spreadsheets/d/1QqKyyYR6Q21VydFLVH3TRQUabQu_ym0Zz7PgGX0-kHA/edit?usp=sharing"",""แผน!EP46"")"),1000)</f>
        <v>1000</v>
      </c>
      <c r="J362" s="863">
        <f ca="1">IFERROR(__xludf.DUMMYFUNCTION("IMPORTRANGE(""https://docs.google.com/spreadsheets/d/1XWAQStnk-4SwqDmLtmXYiTMKHgktTP8We1SCoS47DrQ/edit?usp=sharing"",""จัดที่ดิน!AA46"")"),240)</f>
        <v>240</v>
      </c>
      <c r="K362" s="864">
        <f t="shared" ca="1" si="161"/>
        <v>24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IFERROR(__xludf.DUMMYFUNCTION("IMPORTRANGE(""https://docs.google.com/spreadsheets/d/1XWAQStnk-4SwqDmLtmXYiTMKHgktTP8We1SCoS47DrQ/edit?usp=sharing"",""จัดที่ดิน!AB46"")"),1547.85)</f>
        <v>1547.85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2200</v>
      </c>
      <c r="J364" s="1199">
        <f t="shared" ca="1" si="162"/>
        <v>558</v>
      </c>
      <c r="K364" s="1200">
        <f t="shared" ca="1" si="161"/>
        <v>25.363636363636363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IFERROR(__xludf.DUMMYFUNCTION("IMPORTRANGE(""https://docs.google.com/spreadsheets/d/1QqKyyYR6Q21VydFLVH3TRQUabQu_ym0Zz7PgGX0-kHA/edit?usp=sharing"",""แผน!EJ46"")"),300)</f>
        <v>300</v>
      </c>
      <c r="J365" s="1207">
        <f ca="1">J372</f>
        <v>4</v>
      </c>
      <c r="K365" s="1208">
        <f t="shared" ca="1" si="161"/>
        <v>1.3333333333333333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IFERROR(__xludf.DUMMYFUNCTION("IMPORTRANGE(""https://docs.google.com/spreadsheets/d/1XWAQStnk-4SwqDmLtmXYiTMKHgktTP8We1SCoS47DrQ/edit?usp=sharing"",""จัดที่ดิน!E46"")"),109)</f>
        <v>109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IFERROR(__xludf.DUMMYFUNCTION("IMPORTRANGE(""https://docs.google.com/spreadsheets/d/1QqKyyYR6Q21VydFLVH3TRQUabQu_ym0Zz7PgGX0-kHA/edit?usp=sharing"",""แผน!EI46"")"),3000)</f>
        <v>3000</v>
      </c>
      <c r="J369" s="863">
        <f ca="1">IFERROR(__xludf.DUMMYFUNCTION("IMPORTRANGE(""https://docs.google.com/spreadsheets/d/1XWAQStnk-4SwqDmLtmXYiTMKHgktTP8We1SCoS47DrQ/edit?usp=sharing"",""จัดที่ดิน!F46"")"),597.64)</f>
        <v>597.64</v>
      </c>
      <c r="K369" s="864">
        <f t="shared" ca="1" si="163"/>
        <v>19.921333333333333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IFERROR(__xludf.DUMMYFUNCTION("IMPORTRANGE(""https://docs.google.com/spreadsheets/d/1QqKyyYR6Q21VydFLVH3TRQUabQu_ym0Zz7PgGX0-kHA/edit?usp=sharing"",""แผน!EJ46"")"),300)</f>
        <v>300</v>
      </c>
      <c r="J370" s="863">
        <f ca="1">IFERROR(__xludf.DUMMYFUNCTION("IMPORTRANGE(""https://docs.google.com/spreadsheets/d/1XWAQStnk-4SwqDmLtmXYiTMKHgktTP8We1SCoS47DrQ/edit?usp=sharing"",""จัดที่ดิน!G46"")"),4)</f>
        <v>4</v>
      </c>
      <c r="K370" s="864">
        <f t="shared" ca="1" si="163"/>
        <v>1.3333333333333333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IFERROR(__xludf.DUMMYFUNCTION("IMPORTRANGE(""https://docs.google.com/spreadsheets/d/1XWAQStnk-4SwqDmLtmXYiTMKHgktTP8We1SCoS47DrQ/edit?usp=sharing"",""จัดที่ดิน!H46"")"),25.45)</f>
        <v>25.45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IFERROR(__xludf.DUMMYFUNCTION("IMPORTRANGE(""https://docs.google.com/spreadsheets/d/1QqKyyYR6Q21VydFLVH3TRQUabQu_ym0Zz7PgGX0-kHA/edit?usp=sharing"",""แผน!EJ46"")"),300)</f>
        <v>300</v>
      </c>
      <c r="J372" s="863">
        <f ca="1">IFERROR(__xludf.DUMMYFUNCTION("IMPORTRANGE(""https://docs.google.com/spreadsheets/d/1XWAQStnk-4SwqDmLtmXYiTMKHgktTP8We1SCoS47DrQ/edit?usp=sharing"",""จัดที่ดิน!I46"")"),4)</f>
        <v>4</v>
      </c>
      <c r="K372" s="864">
        <f t="shared" ca="1" si="163"/>
        <v>1.3333333333333333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IFERROR(__xludf.DUMMYFUNCTION("IMPORTRANGE(""https://docs.google.com/spreadsheets/d/1XWAQStnk-4SwqDmLtmXYiTMKHgktTP8We1SCoS47DrQ/edit?usp=sharing"",""จัดที่ดิน!J46"")"),25.45)</f>
        <v>25.45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IFERROR(__xludf.DUMMYFUNCTION("IMPORTRANGE(""https://docs.google.com/spreadsheets/d/1QqKyyYR6Q21VydFLVH3TRQUabQu_ym0Zz7PgGX0-kHA/edit?usp=sharing"",""แผน!EU46"")"),1900)</f>
        <v>1900</v>
      </c>
      <c r="J374" s="1207">
        <f ca="1">J381</f>
        <v>554</v>
      </c>
      <c r="K374" s="1208">
        <f t="shared" ca="1" si="163"/>
        <v>29.157894736842106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IFERROR(__xludf.DUMMYFUNCTION("IMPORTRANGE(""https://docs.google.com/spreadsheets/d/1XWAQStnk-4SwqDmLtmXYiTMKHgktTP8We1SCoS47DrQ/edit?usp=sharing"",""จัดที่ดิน!AH46"")"),462)</f>
        <v>462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IFERROR(__xludf.DUMMYFUNCTION("IMPORTRANGE(""https://docs.google.com/spreadsheets/d/1QqKyyYR6Q21VydFLVH3TRQUabQu_ym0Zz7PgGX0-kHA/edit?usp=sharing"",""แผน!ET46"")"),7000)</f>
        <v>7000</v>
      </c>
      <c r="J378" s="863">
        <f ca="1">IFERROR(__xludf.DUMMYFUNCTION("IMPORTRANGE(""https://docs.google.com/spreadsheets/d/1XWAQStnk-4SwqDmLtmXYiTMKHgktTP8We1SCoS47DrQ/edit?usp=sharing"",""จัดที่ดิน!AI46"")"),3219.16)</f>
        <v>3219.16</v>
      </c>
      <c r="K378" s="864">
        <f t="shared" ca="1" si="164"/>
        <v>45.988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IFERROR(__xludf.DUMMYFUNCTION("IMPORTRANGE(""https://docs.google.com/spreadsheets/d/1QqKyyYR6Q21VydFLVH3TRQUabQu_ym0Zz7PgGX0-kHA/edit?usp=sharing"",""แผน!EU46"")"),1900)</f>
        <v>1900</v>
      </c>
      <c r="J379" s="863">
        <f ca="1">IFERROR(__xludf.DUMMYFUNCTION("IMPORTRANGE(""https://docs.google.com/spreadsheets/d/1XWAQStnk-4SwqDmLtmXYiTMKHgktTP8We1SCoS47DrQ/edit?usp=sharing"",""จัดที่ดิน!AJ46"")"),874)</f>
        <v>874</v>
      </c>
      <c r="K379" s="864">
        <f t="shared" ca="1" si="164"/>
        <v>46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IFERROR(__xludf.DUMMYFUNCTION("IMPORTRANGE(""https://docs.google.com/spreadsheets/d/1XWAQStnk-4SwqDmLtmXYiTMKHgktTP8We1SCoS47DrQ/edit?usp=sharing"",""จัดที่ดิน!AK46"")"),7369.88)</f>
        <v>7369.88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IFERROR(__xludf.DUMMYFUNCTION("IMPORTRANGE(""https://docs.google.com/spreadsheets/d/1QqKyyYR6Q21VydFLVH3TRQUabQu_ym0Zz7PgGX0-kHA/edit?usp=sharing"",""แผน!EU46"")"),1900)</f>
        <v>1900</v>
      </c>
      <c r="J381" s="863">
        <f ca="1">IFERROR(__xludf.DUMMYFUNCTION("IMPORTRANGE(""https://docs.google.com/spreadsheets/d/1XWAQStnk-4SwqDmLtmXYiTMKHgktTP8We1SCoS47DrQ/edit?usp=sharing"",""จัดที่ดิน!AL46"")"),554)</f>
        <v>554</v>
      </c>
      <c r="K381" s="864">
        <f t="shared" ca="1" si="164"/>
        <v>29.157894736842106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IFERROR(__xludf.DUMMYFUNCTION("IMPORTRANGE(""https://docs.google.com/spreadsheets/d/1XWAQStnk-4SwqDmLtmXYiTMKHgktTP8We1SCoS47DrQ/edit?usp=sharing"",""จัดที่ดิน!AM46"")"),4730)</f>
        <v>4730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IFERROR(__xludf.DUMMYFUNCTION("IMPORTRANGE(""https://docs.google.com/spreadsheets/d/1QqKyyYR6Q21VydFLVH3TRQUabQu_ym0Zz7PgGX0-kHA/edit?usp=sharing"",""แผน!EW46"")"),120)</f>
        <v>120</v>
      </c>
      <c r="J385" s="1117">
        <f ca="1">IFERROR(__xludf.DUMMYFUNCTION("IMPORTRANGE(""https://docs.google.com/spreadsheets/d/1XWAQStnk-4SwqDmLtmXYiTMKHgktTP8We1SCoS47DrQ/edit?usp=sharing"",""จัดที่ดิน!AP46"")"),0)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IFERROR(__xludf.DUMMYFUNCTION("IMPORTRANGE(""https://docs.google.com/spreadsheets/d/1MeEWN-I1oV_STSDYn1IFDPWt_1FKiwhDph83XaGc0o0/edit?usp=sharing"",""งบพรบ!FG46"")"),0)</f>
        <v>0</v>
      </c>
      <c r="M394" s="870">
        <f ca="1">IFERROR(__xludf.DUMMYFUNCTION("IMPORTRANGE(""https://docs.google.com/spreadsheets/d/1MeEWN-I1oV_STSDYn1IFDPWt_1FKiwhDph83XaGc0o0/edit?usp=sharing"",""งบพรบ!FL46"")"),0)</f>
        <v>0</v>
      </c>
      <c r="N394" s="870">
        <f ca="1">IFERROR(__xludf.DUMMYFUNCTION("IMPORTRANGE(""https://docs.google.com/spreadsheets/d/1MeEWN-I1oV_STSDYn1IFDPWt_1FKiwhDph83XaGc0o0/edit?usp=sharing"",""งบพรบ!FN46"")"),0)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IFERROR(__xludf.DUMMYFUNCTION("IMPORTRANGE(""https://docs.google.com/spreadsheets/d/1MeEWN-I1oV_STSDYn1IFDPWt_1FKiwhDph83XaGc0o0/edit?usp=sharing"",""งบพรบ!FJ46"")"),0)</f>
        <v>0</v>
      </c>
      <c r="M397" s="870">
        <f ca="1">IFERROR(__xludf.DUMMYFUNCTION("IMPORTRANGE(""https://docs.google.com/spreadsheets/d/1MeEWN-I1oV_STSDYn1IFDPWt_1FKiwhDph83XaGc0o0/edit?usp=sharing"",""งบพรบ!FM46"")"),0)</f>
        <v>0</v>
      </c>
      <c r="N397" s="870">
        <f ca="1">IFERROR(__xludf.DUMMYFUNCTION("IMPORTRANGE(""https://docs.google.com/spreadsheets/d/1MeEWN-I1oV_STSDYn1IFDPWt_1FKiwhDph83XaGc0o0/edit?usp=sharing"",""งบพรบ!FO46"")"),0)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IFERROR(__xludf.DUMMYFUNCTION("IMPORTRANGE(""https://docs.google.com/spreadsheets/d/1MeEWN-I1oV_STSDYn1IFDPWt_1FKiwhDph83XaGc0o0/edit?usp=sharing"",""งบพรบ!FQ46"")"),0)</f>
        <v>0</v>
      </c>
      <c r="M407" s="870">
        <f ca="1">IFERROR(__xludf.DUMMYFUNCTION("IMPORTRANGE(""https://docs.google.com/spreadsheets/d/1MeEWN-I1oV_STSDYn1IFDPWt_1FKiwhDph83XaGc0o0/edit?usp=sharing"",""งบพรบ!FV46"")"),0)</f>
        <v>0</v>
      </c>
      <c r="N407" s="870">
        <f ca="1">IFERROR(__xludf.DUMMYFUNCTION("IMPORTRANGE(""https://docs.google.com/spreadsheets/d/1MeEWN-I1oV_STSDYn1IFDPWt_1FKiwhDph83XaGc0o0/edit?usp=sharing"",""งบพรบ!FX46"")"),0)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IFERROR(__xludf.DUMMYFUNCTION("IMPORTRANGE(""https://docs.google.com/spreadsheets/d/1MeEWN-I1oV_STSDYn1IFDPWt_1FKiwhDph83XaGc0o0/edit?usp=sharing"",""งบพรบ!FT46"")"),0)</f>
        <v>0</v>
      </c>
      <c r="M410" s="870">
        <f ca="1">IFERROR(__xludf.DUMMYFUNCTION("IMPORTRANGE(""https://docs.google.com/spreadsheets/d/1MeEWN-I1oV_STSDYn1IFDPWt_1FKiwhDph83XaGc0o0/edit?usp=sharing"",""งบพรบ!FW46"")"),0)</f>
        <v>0</v>
      </c>
      <c r="N410" s="870">
        <f ca="1">IFERROR(__xludf.DUMMYFUNCTION("IMPORTRANGE(""https://docs.google.com/spreadsheets/d/1MeEWN-I1oV_STSDYn1IFDPWt_1FKiwhDph83XaGc0o0/edit?usp=sharing"",""งบพรบ!FY46"")"),0)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3223978</v>
      </c>
      <c r="M414" s="1257">
        <f t="shared" si="181"/>
        <v>0</v>
      </c>
      <c r="N414" s="1257">
        <f t="shared" si="181"/>
        <v>1304131.1000000001</v>
      </c>
      <c r="O414" s="1257">
        <f ca="1">IF(L414&gt;0,N414*100/L414,0)</f>
        <v>40.450992531586756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50</v>
      </c>
      <c r="J417" s="1270">
        <f t="shared" ca="1" si="182"/>
        <v>50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2</v>
      </c>
      <c r="J418" s="1270">
        <f t="shared" si="182"/>
        <v>2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161140</v>
      </c>
      <c r="M419" s="972">
        <f t="shared" si="184"/>
        <v>0</v>
      </c>
      <c r="N419" s="972">
        <f t="shared" si="184"/>
        <v>106117.3</v>
      </c>
      <c r="O419" s="972">
        <f t="shared" ref="O419:O424" ca="1" si="185">IF(L419&gt;0,N419*100/L419,0)</f>
        <v>65.854102023085517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161140</v>
      </c>
      <c r="M421" s="870">
        <f t="shared" si="187"/>
        <v>0</v>
      </c>
      <c r="N421" s="870">
        <f t="shared" si="187"/>
        <v>106117.3</v>
      </c>
      <c r="O421" s="870">
        <f t="shared" ca="1" si="185"/>
        <v>65.854102023085517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161140</v>
      </c>
      <c r="M422" s="864">
        <f t="shared" si="188"/>
        <v>0</v>
      </c>
      <c r="N422" s="864">
        <f t="shared" si="188"/>
        <v>106117.3</v>
      </c>
      <c r="O422" s="864">
        <f t="shared" ca="1" si="185"/>
        <v>65.854102023085517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IFERROR(__xludf.DUMMYFUNCTION("IMPORTRANGE(""https://docs.google.com/spreadsheets/d/1QqKyyYR6Q21VydFLVH3TRQUabQu_ym0Zz7PgGX0-kHA/edit?usp=sharing"",""แผน!EY46"")"),161140)</f>
        <v>161140</v>
      </c>
      <c r="M424" s="870">
        <v>0</v>
      </c>
      <c r="N424" s="870">
        <f>N425+N426+N427+N428</f>
        <v>106117.3</v>
      </c>
      <c r="O424" s="870">
        <f t="shared" ca="1" si="185"/>
        <v>65.854102023085517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99655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6462.3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IFERROR(__xludf.DUMMYFUNCTION("IMPORTRANGE(""https://docs.google.com/spreadsheets/d/1QqKyyYR6Q21VydFLVH3TRQUabQu_ym0Zz7PgGX0-kHA/edit?usp=sharing"",""แผน!FB46"")"),0)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50</v>
      </c>
      <c r="J433" s="999">
        <f ca="1">IF(AND(J435=I435,J437=I437,J439=I439),I437+I439,IF(AND(J435=I437,J437=I437),I437,IF(AND(J435=I439,J439=I439),I439,0)))</f>
        <v>50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2</v>
      </c>
      <c r="J434" s="999">
        <f t="shared" si="193"/>
        <v>2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IFERROR(__xludf.DUMMYFUNCTION("IMPORTRANGE(""https://docs.google.com/spreadsheets/d/1QqKyyYR6Q21VydFLVH3TRQUabQu_ym0Zz7PgGX0-kHA/edit?usp=sharing"",""แผน!FC46"")"),50)</f>
        <v>50</v>
      </c>
      <c r="J435" s="578">
        <v>50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IFERROR(__xludf.DUMMYFUNCTION("IMPORTRANGE(""https://docs.google.com/spreadsheets/d/1QqKyyYR6Q21VydFLVH3TRQUabQu_ym0Zz7PgGX0-kHA/edit?usp=sharing"",""แผน!FD46"")"),30)</f>
        <v>30</v>
      </c>
      <c r="J437" s="578">
        <v>30</v>
      </c>
      <c r="K437" s="864">
        <f t="shared" ref="K437:K443" ca="1" si="194">IF(I437&gt;0,J437*100/I437,0)</f>
        <v>100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IFERROR(__xludf.DUMMYFUNCTION("IMPORTRANGE(""https://docs.google.com/spreadsheets/d/1QqKyyYR6Q21VydFLVH3TRQUabQu_ym0Zz7PgGX0-kHA/edit?usp=sharing"",""แผน!FE46"")"),1)</f>
        <v>1</v>
      </c>
      <c r="J438" s="992">
        <v>1</v>
      </c>
      <c r="K438" s="864">
        <f t="shared" ca="1" si="194"/>
        <v>100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IFERROR(__xludf.DUMMYFUNCTION("IMPORTRANGE(""https://docs.google.com/spreadsheets/d/1QqKyyYR6Q21VydFLVH3TRQUabQu_ym0Zz7PgGX0-kHA/edit?usp=sharing"",""แผน!FF46"")"),20)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IFERROR(__xludf.DUMMYFUNCTION("IMPORTRANGE(""https://docs.google.com/spreadsheets/d/1QqKyyYR6Q21VydFLVH3TRQUabQu_ym0Zz7PgGX0-kHA/edit?usp=sharing"",""แผน!FG46"")"),1)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IFERROR(__xludf.DUMMYFUNCTION("IMPORTRANGE(""https://docs.google.com/spreadsheets/d/1QqKyyYR6Q21VydFLVH3TRQUabQu_ym0Zz7PgGX0-kHA/edit?usp=sharing"",""แผน!FH46"")"),0)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15</v>
      </c>
      <c r="J442" s="1285">
        <f t="shared" si="195"/>
        <v>15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150</v>
      </c>
      <c r="J443" s="1270">
        <f t="shared" si="196"/>
        <v>150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181560</v>
      </c>
      <c r="M444" s="1000">
        <f t="shared" si="197"/>
        <v>0</v>
      </c>
      <c r="N444" s="1000">
        <f t="shared" si="197"/>
        <v>36665</v>
      </c>
      <c r="O444" s="1000">
        <f t="shared" ref="O444:O449" ca="1" si="198">IF(L444&gt;0,N444*100/L444,0)</f>
        <v>20.194426085040757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181560</v>
      </c>
      <c r="M446" s="870">
        <f t="shared" si="200"/>
        <v>0</v>
      </c>
      <c r="N446" s="870">
        <f t="shared" si="200"/>
        <v>36665</v>
      </c>
      <c r="O446" s="870">
        <f t="shared" ca="1" si="198"/>
        <v>20.194426085040757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181560</v>
      </c>
      <c r="M447" s="864">
        <f t="shared" si="201"/>
        <v>0</v>
      </c>
      <c r="N447" s="864">
        <f t="shared" si="201"/>
        <v>36665</v>
      </c>
      <c r="O447" s="864">
        <f t="shared" ca="1" si="198"/>
        <v>20.194426085040757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IFERROR(__xludf.DUMMYFUNCTION("IMPORTRANGE(""https://docs.google.com/spreadsheets/d/1QqKyyYR6Q21VydFLVH3TRQUabQu_ym0Zz7PgGX0-kHA/edit?usp=sharing"",""แผน!FJ46"")"),181560)</f>
        <v>181560</v>
      </c>
      <c r="M449" s="870">
        <v>0</v>
      </c>
      <c r="N449" s="870">
        <f>N450+N451+N452+N453</f>
        <v>36665</v>
      </c>
      <c r="O449" s="870">
        <f t="shared" ca="1" si="198"/>
        <v>20.194426085040757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19120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6240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11305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IFERROR(__xludf.DUMMYFUNCTION("IMPORTRANGE(""https://docs.google.com/spreadsheets/d/1QqKyyYR6Q21VydFLVH3TRQUabQu_ym0Zz7PgGX0-kHA/edit?usp=sharing"",""แผน!FM46"")"),0)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IFERROR(__xludf.DUMMYFUNCTION("IMPORTRANGE(""https://docs.google.com/spreadsheets/d/1QqKyyYR6Q21VydFLVH3TRQUabQu_ym0Zz7PgGX0-kHA/edit?usp=sharing"",""แผน!FN46"")"),15)</f>
        <v>15</v>
      </c>
      <c r="J460" s="992">
        <v>15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IFERROR(__xludf.DUMMYFUNCTION("IMPORTRANGE(""https://docs.google.com/spreadsheets/d/1QqKyyYR6Q21VydFLVH3TRQUabQu_ym0Zz7PgGX0-kHA/edit?usp=sharing"",""แผน!FO46"")"),150)</f>
        <v>150</v>
      </c>
      <c r="J462" s="992">
        <v>150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IFERROR(__xludf.DUMMYFUNCTION("IMPORTRANGE(""https://docs.google.com/spreadsheets/d/1QqKyyYR6Q21VydFLVH3TRQUabQu_ym0Zz7PgGX0-kHA/edit?usp=sharing"",""แผน!FO46"")"),150)</f>
        <v>150</v>
      </c>
      <c r="J463" s="992">
        <v>15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IFERROR(__xludf.DUMMYFUNCTION("IMPORTRANGE(""https://docs.google.com/spreadsheets/d/1QqKyyYR6Q21VydFLVH3TRQUabQu_ym0Zz7PgGX0-kHA/edit?usp=sharing"",""แผน!FN46"")"),15)</f>
        <v>15</v>
      </c>
      <c r="J464" s="992">
        <v>15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IFERROR(__xludf.DUMMYFUNCTION("IMPORTRANGE(""https://docs.google.com/spreadsheets/d/1QqKyyYR6Q21VydFLVH3TRQUabQu_ym0Zz7PgGX0-kHA/edit?usp=sharing"",""แผน!FX46"")"),131)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IFERROR(__xludf.DUMMYFUNCTION("IMPORTRANGE(""https://docs.google.com/spreadsheets/d/1QqKyyYR6Q21VydFLVH3TRQUabQu_ym0Zz7PgGX0-kHA/edit?usp=sharing"",""แผน!FW46"")"),1300)</f>
        <v>1300</v>
      </c>
      <c r="J466" s="1270">
        <f>J495+J498</f>
        <v>1300</v>
      </c>
      <c r="K466" s="1271">
        <f t="shared" ca="1" si="205"/>
        <v>100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1169908</v>
      </c>
      <c r="M467" s="1000">
        <f t="shared" si="206"/>
        <v>0</v>
      </c>
      <c r="N467" s="1000">
        <f t="shared" si="206"/>
        <v>607083</v>
      </c>
      <c r="O467" s="1000">
        <f t="shared" ref="O467:O472" ca="1" si="207">IF(L467&gt;0,N467*100/L467,0)</f>
        <v>51.891516255979106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1169908</v>
      </c>
      <c r="M469" s="870">
        <f t="shared" si="209"/>
        <v>0</v>
      </c>
      <c r="N469" s="870">
        <f t="shared" si="209"/>
        <v>607083</v>
      </c>
      <c r="O469" s="870">
        <f t="shared" ca="1" si="207"/>
        <v>51.891516255979106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1169908</v>
      </c>
      <c r="M470" s="864">
        <f t="shared" si="210"/>
        <v>0</v>
      </c>
      <c r="N470" s="864">
        <f t="shared" si="210"/>
        <v>607083</v>
      </c>
      <c r="O470" s="864">
        <f t="shared" ca="1" si="207"/>
        <v>51.891516255979106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IFERROR(__xludf.DUMMYFUNCTION("IMPORTRANGE(""https://docs.google.com/spreadsheets/d/1QqKyyYR6Q21VydFLVH3TRQUabQu_ym0Zz7PgGX0-kHA/edit?usp=sharing"",""แผน!FS46"")"),1169908)</f>
        <v>1169908</v>
      </c>
      <c r="M472" s="870">
        <v>0</v>
      </c>
      <c r="N472" s="870">
        <f>N473+N474+N475+N476</f>
        <v>607083</v>
      </c>
      <c r="O472" s="870">
        <f t="shared" ca="1" si="207"/>
        <v>51.891516255979106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118947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416155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51580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20401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IFERROR(__xludf.DUMMYFUNCTION("IMPORTRANGE(""https://docs.google.com/spreadsheets/d/1QqKyyYR6Q21VydFLVH3TRQUabQu_ym0Zz7PgGX0-kHA/edit?usp=sharing"",""แผน!FV46"")"),0)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IFERROR(__xludf.DUMMYFUNCTION("IMPORTRANGE(""https://docs.google.com/spreadsheets/d/1QqKyyYR6Q21VydFLVH3TRQUabQu_ym0Zz7PgGX0-kHA/edit?usp=sharing"",""แผน!FY46"")"),1170)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160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IFERROR(__xludf.DUMMYFUNCTION("IMPORTRANGE(""https://docs.google.com/spreadsheets/d/1QqKyyYR6Q21VydFLVH3TRQUabQu_ym0Zz7PgGX0-kHA/edit?usp=sharing"",""แผน!FZ46"")"),117)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IFERROR(__xludf.DUMMYFUNCTION("IMPORTRANGE(""https://docs.google.com/spreadsheets/d/1QqKyyYR6Q21VydFLVH3TRQUabQu_ym0Zz7PgGX0-kHA/edit?usp=sharing"",""แผน!GA46"")"),130)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/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9.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IFERROR(__xludf.DUMMYFUNCTION("IMPORTRANGE(""https://docs.google.com/spreadsheets/d/1QqKyyYR6Q21VydFLVH3TRQUabQu_ym0Zz7PgGX0-kHA/edit?usp=sharing"",""แผน!GB46"")"),13)</f>
        <v>13</v>
      </c>
      <c r="J489" s="1474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/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IFERROR(__xludf.DUMMYFUNCTION("IMPORTRANGE(""https://docs.google.com/spreadsheets/d/1QqKyyYR6Q21VydFLVH3TRQUabQu_ym0Zz7PgGX0-kHA/edit?usp=sharing"",""แผน!GC46"")"),1)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IFERROR(__xludf.DUMMYFUNCTION("IMPORTRANGE(""https://docs.google.com/spreadsheets/d/1QqKyyYR6Q21VydFLVH3TRQUabQu_ym0Zz7PgGX0-kHA/edit?usp=sharing"",""แผน!FY46"")"),1170)</f>
        <v>1170</v>
      </c>
      <c r="J495" s="992">
        <v>1170</v>
      </c>
      <c r="K495" s="864">
        <f ca="1">IF(I495&gt;0,J495*100/I495,0)</f>
        <v>100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/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IFERROR(__xludf.DUMMYFUNCTION("IMPORTRANGE(""https://docs.google.com/spreadsheets/d/1QqKyyYR6Q21VydFLVH3TRQUabQu_ym0Zz7PgGX0-kHA/edit?usp=sharing"",""แผน!GA46"")"),130)</f>
        <v>130</v>
      </c>
      <c r="J498" s="992">
        <v>130</v>
      </c>
      <c r="K498" s="864">
        <f ca="1">IF(I498&gt;0,J498*100/I498,0)</f>
        <v>100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IFERROR(__xludf.DUMMYFUNCTION("IMPORTRANGE(""https://docs.google.com/spreadsheets/d/1QqKyyYR6Q21VydFLVH3TRQUabQu_ym0Zz7PgGX0-kHA/edit?usp=sharing"",""แผน!GQ46"")"),0)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IFERROR(__xludf.DUMMYFUNCTION("IMPORTRANGE(""https://docs.google.com/spreadsheets/d/1QqKyyYR6Q21VydFLVH3TRQUabQu_ym0Zz7PgGX0-kHA/edit?usp=sharing"",""แผน!GT46"")"),0)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IFERROR(__xludf.DUMMYFUNCTION("IMPORTRANGE(""https://docs.google.com/spreadsheets/d/1QqKyyYR6Q21VydFLVH3TRQUabQu_ym0Zz7PgGX0-kHA/edit?usp=sharing"",""แผน!GU46"")"),0)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IFERROR(__xludf.DUMMYFUNCTION("IMPORTRANGE(""https://docs.google.com/spreadsheets/d/1QqKyyYR6Q21VydFLVH3TRQUabQu_ym0Zz7PgGX0-kHA/edit?usp=sharing"",""แผน!GV46"")"),0)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IFERROR(__xludf.DUMMYFUNCTION("IMPORTRANGE(""https://docs.google.com/spreadsheets/d/1QqKyyYR6Q21VydFLVH3TRQUabQu_ym0Zz7PgGX0-kHA/edit?usp=sharing"",""แผน!GW46"")"),0)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IFERROR(__xludf.DUMMYFUNCTION("IMPORTRANGE(""https://docs.google.com/spreadsheets/d/1QqKyyYR6Q21VydFLVH3TRQUabQu_ym0Zz7PgGX0-kHA/edit?usp=sharing"",""แผน!GX46"")"),0)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IFERROR(__xludf.DUMMYFUNCTION("IMPORTRANGE(""https://docs.google.com/spreadsheets/d/1QqKyyYR6Q21VydFLVH3TRQUabQu_ym0Zz7PgGX0-kHA/edit?usp=sharing"",""แผน!GY46"")"),0)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IFERROR(__xludf.DUMMYFUNCTION("IMPORTRANGE(""https://docs.google.com/spreadsheets/d/1QqKyyYR6Q21VydFLVH3TRQUabQu_ym0Zz7PgGX0-kHA/edit?usp=sharing"",""แผน!GZ46"")"),0)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73156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594850</v>
      </c>
      <c r="M544" s="972">
        <f t="shared" si="236"/>
        <v>0</v>
      </c>
      <c r="N544" s="972">
        <f t="shared" si="236"/>
        <v>188534.8</v>
      </c>
      <c r="O544" s="972">
        <f t="shared" ref="O544:O549" ca="1" si="237">IF(L544&gt;0,N544*100/L544,0)</f>
        <v>31.694511221316297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594850</v>
      </c>
      <c r="M546" s="870">
        <f t="shared" si="240"/>
        <v>0</v>
      </c>
      <c r="N546" s="870">
        <f t="shared" si="240"/>
        <v>188534.8</v>
      </c>
      <c r="O546" s="870">
        <f t="shared" ca="1" si="237"/>
        <v>31.694511221316297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594850</v>
      </c>
      <c r="M547" s="864">
        <f t="shared" si="241"/>
        <v>0</v>
      </c>
      <c r="N547" s="864">
        <f t="shared" si="241"/>
        <v>188534.8</v>
      </c>
      <c r="O547" s="864">
        <f t="shared" ca="1" si="237"/>
        <v>31.694511221316297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IFERROR(__xludf.DUMMYFUNCTION("IMPORTRANGE(""https://docs.google.com/spreadsheets/d/1QqKyyYR6Q21VydFLVH3TRQUabQu_ym0Zz7PgGX0-kHA/edit?usp=sharing"",""แผน!HB46"")"),594850)</f>
        <v>594850</v>
      </c>
      <c r="M549" s="870">
        <v>0</v>
      </c>
      <c r="N549" s="870">
        <f>N550+N551+N552+N553+N554</f>
        <v>188534.8</v>
      </c>
      <c r="O549" s="870">
        <f t="shared" ca="1" si="237"/>
        <v>31.694511221316297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50320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138214.79999999999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IFERROR(__xludf.DUMMYFUNCTION("IMPORTRANGE(""https://docs.google.com/spreadsheets/d/1QqKyyYR6Q21VydFLVH3TRQUabQu_ym0Zz7PgGX0-kHA/edit?usp=sharing"",""แผน!HF46"")"),0)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73156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IFERROR(__xludf.DUMMYFUNCTION("IMPORTRANGE(""https://docs.google.com/spreadsheets/d/1QqKyyYR6Q21VydFLVH3TRQUabQu_ym0Zz7PgGX0-kHA/edit?usp=sharing"",""แผน!HH46"")"),73156)</f>
        <v>73156</v>
      </c>
      <c r="J560" s="998">
        <f t="shared" ref="J560:J561" si="247">J562+J564+J566</f>
        <v>73151</v>
      </c>
      <c r="K560" s="1142">
        <f t="shared" ca="1" si="246"/>
        <v>99.993165290611842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IFERROR(__xludf.DUMMYFUNCTION("IMPORTRANGE(""https://docs.google.com/spreadsheets/d/1QqKyyYR6Q21VydFLVH3TRQUabQu_ym0Zz7PgGX0-kHA/edit?usp=sharing"",""แผน!HG46"")"),11185)</f>
        <v>11185</v>
      </c>
      <c r="J561" s="998">
        <f t="shared" si="247"/>
        <v>11185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51046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8852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18662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1844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3443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489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IFERROR(__xludf.DUMMYFUNCTION("IMPORTRANGE(""https://docs.google.com/spreadsheets/d/1QqKyyYR6Q21VydFLVH3TRQUabQu_ym0Zz7PgGX0-kHA/edit?usp=sharing"",""แผน!HH46"")"),73156)</f>
        <v>73156</v>
      </c>
      <c r="J568" s="999">
        <f t="shared" ref="J568:J569" si="248">J570+J572+J574</f>
        <v>41718.6</v>
      </c>
      <c r="K568" s="1142">
        <f t="shared" ref="K568:K569" ca="1" si="249">IF(I568&gt;0,J568*100/I568,0)</f>
        <v>57.026901416151787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IFERROR(__xludf.DUMMYFUNCTION("IMPORTRANGE(""https://docs.google.com/spreadsheets/d/1QqKyyYR6Q21VydFLVH3TRQUabQu_ym0Zz7PgGX0-kHA/edit?usp=sharing"",""แผน!HG46"")"),11185)</f>
        <v>11185</v>
      </c>
      <c r="J569" s="999">
        <f t="shared" si="248"/>
        <v>6437</v>
      </c>
      <c r="K569" s="1142">
        <f t="shared" ca="1" si="249"/>
        <v>57.55029056772463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32001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5450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8502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786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1215.5999999999999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201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IFERROR(__xludf.DUMMYFUNCTION("IMPORTRANGE(""https://docs.google.com/spreadsheets/d/1QqKyyYR6Q21VydFLVH3TRQUabQu_ym0Zz7PgGX0-kHA/edit?usp=sharing"",""แผน!HH46"")"),73156)</f>
        <v>73156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IFERROR(__xludf.DUMMYFUNCTION("IMPORTRANGE(""https://docs.google.com/spreadsheets/d/1QqKyyYR6Q21VydFLVH3TRQUabQu_ym0Zz7PgGX0-kHA/edit?usp=sharing"",""แผน!HG46"")"),11185)</f>
        <v>11185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4240.6499999999996</v>
      </c>
      <c r="J592" s="1350">
        <f t="shared" si="253"/>
        <v>2223</v>
      </c>
      <c r="K592" s="1351">
        <f t="shared" ref="K592:K594" ca="1" si="254">IF(I592&gt;0,J592*100/I592,0)</f>
        <v>52.421209012769275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IFERROR(__xludf.DUMMYFUNCTION("IMPORTRANGE(""https://docs.google.com/spreadsheets/d/1QqKyyYR6Q21VydFLVH3TRQUabQu_ym0Zz7PgGX0-kHA/edit?usp=sharing"",""แผน!HJ46"")"),4240.65)</f>
        <v>4240.6499999999996</v>
      </c>
      <c r="J593" s="998">
        <f t="shared" ref="J593:J594" si="255">J595+J603+J609</f>
        <v>2223</v>
      </c>
      <c r="K593" s="1142">
        <f t="shared" ca="1" si="254"/>
        <v>52.421209012769275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IFERROR(__xludf.DUMMYFUNCTION("IMPORTRANGE(""https://docs.google.com/spreadsheets/d/1QqKyyYR6Q21VydFLVH3TRQUabQu_ym0Zz7PgGX0-kHA/edit?usp=sharing"",""แผน!HI46"")"),384)</f>
        <v>384</v>
      </c>
      <c r="J594" s="998">
        <f t="shared" si="255"/>
        <v>248</v>
      </c>
      <c r="K594" s="1142">
        <f t="shared" ca="1" si="254"/>
        <v>64.583333333333329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2209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246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555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66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1654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180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14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2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14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2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IFERROR(__xludf.DUMMYFUNCTION("IMPORTRANGE(""https://docs.google.com/spreadsheets/d/1QqKyyYR6Q21VydFLVH3TRQUabQu_ym0Zz7PgGX0-kHA/edit?usp=sharing"",""แผน!HL46"")"),73)</f>
        <v>73</v>
      </c>
      <c r="J620" s="1389">
        <f t="shared" ref="J620:J621" si="260">J622+J624+J626</f>
        <v>73</v>
      </c>
      <c r="K620" s="1390">
        <f t="shared" ref="K620:K621" ca="1" si="261">IF(I620&gt;0,J620*100/I620,0)</f>
        <v>100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IFERROR(__xludf.DUMMYFUNCTION("IMPORTRANGE(""https://docs.google.com/spreadsheets/d/1QqKyyYR6Q21VydFLVH3TRQUabQu_ym0Zz7PgGX0-kHA/edit?usp=sharing"",""แผน!HK46"")"),8)</f>
        <v>8</v>
      </c>
      <c r="J621" s="1389">
        <f t="shared" si="260"/>
        <v>8</v>
      </c>
      <c r="K621" s="1390">
        <f t="shared" ca="1" si="261"/>
        <v>100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29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3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44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5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700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873460</v>
      </c>
      <c r="M629" s="1000">
        <f t="shared" si="263"/>
        <v>0</v>
      </c>
      <c r="N629" s="1000">
        <f t="shared" si="263"/>
        <v>302986</v>
      </c>
      <c r="O629" s="1000">
        <f t="shared" ref="O629:O634" ca="1" si="264">IF(L629&gt;0,N629*100/L629,0)</f>
        <v>34.68802234790374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873460</v>
      </c>
      <c r="M631" s="870">
        <f t="shared" si="266"/>
        <v>0</v>
      </c>
      <c r="N631" s="870">
        <f t="shared" si="266"/>
        <v>302986</v>
      </c>
      <c r="O631" s="870">
        <f t="shared" ca="1" si="264"/>
        <v>34.68802234790374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873460</v>
      </c>
      <c r="M632" s="864">
        <f t="shared" si="267"/>
        <v>0</v>
      </c>
      <c r="N632" s="864">
        <f t="shared" si="267"/>
        <v>302986</v>
      </c>
      <c r="O632" s="864">
        <f t="shared" ca="1" si="264"/>
        <v>34.68802234790374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IFERROR(__xludf.DUMMYFUNCTION("IMPORTRANGE(""https://docs.google.com/spreadsheets/d/1QqKyyYR6Q21VydFLVH3TRQUabQu_ym0Zz7PgGX0-kHA/edit?usp=sharing"",""แผน!HN46"")"),873460)</f>
        <v>873460</v>
      </c>
      <c r="M634" s="870">
        <v>0</v>
      </c>
      <c r="N634" s="870">
        <f>N635+N636+N637+N638</f>
        <v>302986</v>
      </c>
      <c r="O634" s="870">
        <f t="shared" ca="1" si="264"/>
        <v>34.68802234790374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104000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198986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IFERROR(__xludf.DUMMYFUNCTION("IMPORTRANGE(""https://docs.google.com/spreadsheets/d/1QqKyyYR6Q21VydFLVH3TRQUabQu_ym0Zz7PgGX0-kHA/edit?usp=sharing"",""แผน!HQ46"")"),0)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IFERROR(__xludf.DUMMYFUNCTION("IMPORTRANGE(""https://docs.google.com/spreadsheets/d/1QqKyyYR6Q21VydFLVH3TRQUabQu_ym0Zz7PgGX0-kHA/edit?usp=sharing"",""แผน!HR46"")"),0)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IFERROR(__xludf.DUMMYFUNCTION("IMPORTRANGE(""https://docs.google.com/spreadsheets/d/1QqKyyYR6Q21VydFLVH3TRQUabQu_ym0Zz7PgGX0-kHA/edit?usp=sharing"",""แผน!HR46"")"),0)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IFERROR(__xludf.DUMMYFUNCTION("IMPORTRANGE(""https://docs.google.com/spreadsheets/d/1XWAQStnk-4SwqDmLtmXYiTMKHgktTP8We1SCoS47DrQ/edit?usp=sharing"",""จัดที่ดิน!AS46"")"),301)</f>
        <v>301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IFERROR(__xludf.DUMMYFUNCTION("IMPORTRANGE(""https://docs.google.com/spreadsheets/d/1XWAQStnk-4SwqDmLtmXYiTMKHgktTP8We1SCoS47DrQ/edit?usp=sharing"",""จัดที่ดิน!AT46"")"),211.61)</f>
        <v>211.61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IFERROR(__xludf.DUMMYFUNCTION("IMPORTRANGE(""https://docs.google.com/spreadsheets/d/1QqKyyYR6Q21VydFLVH3TRQUabQu_ym0Zz7PgGX0-kHA/edit?usp=sharing"",""แผน!HS46"")"),700)</f>
        <v>700</v>
      </c>
      <c r="J647" s="863">
        <f ca="1">IFERROR(__xludf.DUMMYFUNCTION("IMPORTRANGE(""https://docs.google.com/spreadsheets/d/1XWAQStnk-4SwqDmLtmXYiTMKHgktTP8We1SCoS47DrQ/edit?usp=sharing"",""จัดที่ดิน!AU46"")"),259)</f>
        <v>259</v>
      </c>
      <c r="K647" s="978">
        <f t="shared" ca="1" si="271"/>
        <v>37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IFERROR(__xludf.DUMMYFUNCTION("IMPORTRANGE(""https://docs.google.com/spreadsheets/d/1XWAQStnk-4SwqDmLtmXYiTMKHgktTP8We1SCoS47DrQ/edit?usp=sharing"",""จัดที่ดิน!AV46"")"),183.13)</f>
        <v>183.13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IFERROR(__xludf.DUMMYFUNCTION("IMPORTRANGE(""https://docs.google.com/spreadsheets/d/1QqKyyYR6Q21VydFLVH3TRQUabQu_ym0Zz7PgGX0-kHA/edit?usp=sharing"",""แผน!HS46"")"),700)</f>
        <v>700</v>
      </c>
      <c r="J649" s="863">
        <f ca="1">IFERROR(__xludf.DUMMYFUNCTION("IMPORTRANGE(""https://docs.google.com/spreadsheets/d/1XWAQStnk-4SwqDmLtmXYiTMKHgktTP8We1SCoS47DrQ/edit?usp=sharing"",""จัดที่ดิน!AW46"")"),261)</f>
        <v>261</v>
      </c>
      <c r="K649" s="978">
        <f t="shared" ca="1" si="271"/>
        <v>37.285714285714285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IFERROR(__xludf.DUMMYFUNCTION("IMPORTRANGE(""https://docs.google.com/spreadsheets/d/1XWAQStnk-4SwqDmLtmXYiTMKHgktTP8We1SCoS47DrQ/edit?usp=sharing"",""จัดที่ดิน!AX46"")"),183.78)</f>
        <v>183.78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IFERROR(__xludf.DUMMYFUNCTION("IMPORTRANGE(""https://docs.google.com/spreadsheets/d/1QqKyyYR6Q21VydFLVH3TRQUabQu_ym0Zz7PgGX0-kHA/edit?usp=sharing"",""แผน!HS46"")"),700)</f>
        <v>700</v>
      </c>
      <c r="J651" s="863">
        <f ca="1">IFERROR(__xludf.DUMMYFUNCTION("IMPORTRANGE(""https://docs.google.com/spreadsheets/d/1XWAQStnk-4SwqDmLtmXYiTMKHgktTP8We1SCoS47DrQ/edit?usp=sharing"",""จัดที่ดิน!AY46"")"),0)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IFERROR(__xludf.DUMMYFUNCTION("IMPORTRANGE(""https://docs.google.com/spreadsheets/d/1XWAQStnk-4SwqDmLtmXYiTMKHgktTP8We1SCoS47DrQ/edit?usp=sharing"",""จัดที่ดิน!AZ46"")"),0)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2700</v>
      </c>
      <c r="O655" s="1000">
        <f t="shared" ref="O655:O660" ca="1" si="274">IF(L655&gt;0,N655*100/L655,0)</f>
        <v>17.307692307692307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2700</v>
      </c>
      <c r="O657" s="870">
        <f t="shared" ca="1" si="274"/>
        <v>17.307692307692307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2700</v>
      </c>
      <c r="O658" s="864">
        <f t="shared" ca="1" si="274"/>
        <v>17.307692307692307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IFERROR(__xludf.DUMMYFUNCTION("IMPORTRANGE(""https://docs.google.com/spreadsheets/d/1QqKyyYR6Q21VydFLVH3TRQUabQu_ym0Zz7PgGX0-kHA/edit?usp=sharing"",""แผน!HV46"")"),15600)</f>
        <v>15600</v>
      </c>
      <c r="M660" s="870">
        <v>0</v>
      </c>
      <c r="N660" s="870">
        <f>N661+N662+N663+N664</f>
        <v>2700</v>
      </c>
      <c r="O660" s="870">
        <f t="shared" ca="1" si="274"/>
        <v>17.307692307692307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2700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IFERROR(__xludf.DUMMYFUNCTION("IMPORTRANGE(""https://docs.google.com/spreadsheets/d/1QqKyyYR6Q21VydFLVH3TRQUabQu_ym0Zz7PgGX0-kHA/edit?usp=sharing"",""แผน!IA46"")"),100)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IFERROR(__xludf.DUMMYFUNCTION("IMPORTRANGE(""https://docs.google.com/spreadsheets/d/1QqKyyYR6Q21VydFLVH3TRQUabQu_ym0Zz7PgGX0-kHA/edit?usp=sharing"",""แผน!HZ46"")"),6)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IFERROR(__xludf.DUMMYFUNCTION("IMPORTRANGE(""https://docs.google.com/spreadsheets/d/1QqKyyYR6Q21VydFLVH3TRQUabQu_ym0Zz7PgGX0-kHA/edit?usp=sharing"",""แผน!HZ46"")"),6)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64</v>
      </c>
      <c r="K672" s="864">
        <f t="shared" ref="K672:K675" ca="1" si="281">IF(I$669&gt;0,J672*100/I$669,0)</f>
        <v>64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64</v>
      </c>
      <c r="K673" s="864">
        <f t="shared" ca="1" si="281"/>
        <v>64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IFERROR(__xludf.DUMMYFUNCTION("IMPORTRANGE(""https://docs.google.com/spreadsheets/d/1QqKyyYR6Q21VydFLVH3TRQUabQu_ym0Zz7PgGX0-kHA/edit?usp=sharing"",""แผน!IB46"")"),0)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13540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13540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13540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IFERROR(__xludf.DUMMYFUNCTION("IMPORTRANGE(""https://docs.google.com/spreadsheets/d/1QqKyyYR6Q21VydFLVH3TRQUabQu_ym0Zz7PgGX0-kHA/edit?usp=sharing"",""แผน!HW46"")"),13540)</f>
        <v>13540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IFERROR(__xludf.DUMMYFUNCTION("IMPORTRANGE(""https://docs.google.com/spreadsheets/d/1QqKyyYR6Q21VydFLVH3TRQUabQu_ym0Zz7PgGX0-kHA/edit?usp=sharing"",""แผน!IC46"")"),0)</f>
        <v>0</v>
      </c>
      <c r="J699" s="863">
        <f ca="1">IFERROR(__xludf.DUMMYFUNCTION("IMPORTRANGE(""https://docs.google.com/spreadsheets/d/1XWAQStnk-4SwqDmLtmXYiTMKHgktTP8We1SCoS47DrQ/edit?usp=sharing"",""จัดที่ดิน!BB46"")"),0)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IFERROR(__xludf.DUMMYFUNCTION("IMPORTRANGE(""https://docs.google.com/spreadsheets/d/1QqKyyYR6Q21VydFLVH3TRQUabQu_ym0Zz7PgGX0-kHA/edit?usp=sharing"",""แผน!ID46"")"),15)</f>
        <v>15</v>
      </c>
      <c r="J700" s="863">
        <f ca="1">IFERROR(__xludf.DUMMYFUNCTION("IMPORTRANGE(""https://docs.google.com/spreadsheets/d/1XWAQStnk-4SwqDmLtmXYiTMKHgktTP8We1SCoS47DrQ/edit?usp=sharing"",""จัดที่ดิน!BD46"")"),0)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IFERROR(__xludf.DUMMYFUNCTION("IMPORTRANGE(""https://docs.google.com/spreadsheets/d/1QqKyyYR6Q21VydFLVH3TRQUabQu_ym0Zz7PgGX0-kHA/edit?usp=sharing"",""แผน!IE46"")"),0)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/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/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IFERROR(__xludf.DUMMYFUNCTION("IMPORTRANGE(""https://docs.google.com/spreadsheets/d/1QqKyyYR6Q21VydFLVH3TRQUabQu_ym0Zz7PgGX0-kHA/edit?usp=sharing"",""แผน!IF46"")"),0)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/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/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IFERROR(__xludf.DUMMYFUNCTION("IMPORTRANGE(""https://docs.google.com/spreadsheets/d/1QqKyyYR6Q21VydFLVH3TRQUabQu_ym0Zz7PgGX0-kHA/edit?usp=sharing"",""แผน!IG46"")"),0)</f>
        <v>0</v>
      </c>
      <c r="J707" s="992"/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IFERROR(__xludf.DUMMYFUNCTION("IMPORTRANGE(""https://docs.google.com/spreadsheets/d/1QqKyyYR6Q21VydFLVH3TRQUabQu_ym0Zz7PgGX0-kHA/edit?usp=sharing"",""แผน!IH46"")"),342)</f>
        <v>342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IFERROR(__xludf.DUMMYFUNCTION("IMPORTRANGE(""https://docs.google.com/spreadsheets/d/1XWAQStnk-4SwqDmLtmXYiTMKHgktTP8We1SCoS47DrQ/edit?usp=sharing"",""จัดที่ดิน!BF46"")"),0)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IFERROR(__xludf.DUMMYFUNCTION("IMPORTRANGE(""https://docs.google.com/spreadsheets/d/1XWAQStnk-4SwqDmLtmXYiTMKHgktTP8We1SCoS47DrQ/edit?usp=sharing"",""จัดที่ดิน!BG46"")"),0)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IFERROR(__xludf.DUMMYFUNCTION("IMPORTRANGE(""https://docs.google.com/spreadsheets/d/1QqKyyYR6Q21VydFLVH3TRQUabQu_ym0Zz7PgGX0-kHA/edit?usp=sharing"",""แผน!II46"")"),130)</f>
        <v>130</v>
      </c>
      <c r="J720" s="863">
        <f ca="1">IFERROR(__xludf.DUMMYFUNCTION("IMPORTRANGE(""https://docs.google.com/spreadsheets/d/1XWAQStnk-4SwqDmLtmXYiTMKHgktTP8We1SCoS47DrQ/edit?usp=sharing"",""จัดที่ดิน!BH46"")"),0)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IFERROR(__xludf.DUMMYFUNCTION("IMPORTRANGE(""https://docs.google.com/spreadsheets/d/1QqKyyYR6Q21VydFLVH3TRQUabQu_ym0Zz7PgGX0-kHA/edit?usp=sharing"",""แผน!IJ46"")"),0)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IFERROR(__xludf.DUMMYFUNCTION("IMPORTRANGE(""https://docs.google.com/spreadsheets/d/1QqKyyYR6Q21VydFLVH3TRQUabQu_ym0Zz7PgGX0-kHA/edit?usp=sharing"",""แผน!IK46"")"),0)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IFERROR(__xludf.DUMMYFUNCTION("IMPORTRANGE(""https://docs.google.com/spreadsheets/d/1QqKyyYR6Q21VydFLVH3TRQUabQu_ym0Zz7PgGX0-kHA/edit?usp=sharing"",""แผน!IL46"")"),0)</f>
        <v>0</v>
      </c>
      <c r="J723" s="863">
        <f ca="1">IFERROR(__xludf.DUMMYFUNCTION("IMPORTRANGE(""https://docs.google.com/spreadsheets/d/1XWAQStnk-4SwqDmLtmXYiTMKHgktTP8We1SCoS47DrQ/edit?usp=sharing"",""จัดที่ดิน!BM46"")"),0)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IFERROR(__xludf.DUMMYFUNCTION("IMPORTRANGE(""https://docs.google.com/spreadsheets/d/1XWAQStnk-4SwqDmLtmXYiTMKHgktTP8We1SCoS47DrQ/edit?usp=sharing"",""จัดที่ดิน!BN46"")"),0)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IFERROR(__xludf.DUMMYFUNCTION("IMPORTRANGE(""https://docs.google.com/spreadsheets/d/1QqKyyYR6Q21VydFLVH3TRQUabQu_ym0Zz7PgGX0-kHA/edit?usp=sharing"",""แผน!IM46"")"),0)</f>
        <v>0</v>
      </c>
      <c r="J725" s="863">
        <f ca="1">IFERROR(__xludf.DUMMYFUNCTION("IMPORTRANGE(""https://docs.google.com/spreadsheets/d/1XWAQStnk-4SwqDmLtmXYiTMKHgktTP8We1SCoS47DrQ/edit?usp=sharing"",""จัดที่ดิน!BO46"")"),0)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IFERROR(__xludf.DUMMYFUNCTION("IMPORTRANGE(""https://docs.google.com/spreadsheets/d/1QqKyyYR6Q21VydFLVH3TRQUabQu_ym0Zz7PgGX0-kHA/edit?usp=sharing"",""แผน!IN46"")"),0)</f>
        <v>0</v>
      </c>
      <c r="J726" s="863">
        <f ca="1">IFERROR(__xludf.DUMMYFUNCTION("IMPORTRANGE(""https://docs.google.com/spreadsheets/d/1XWAQStnk-4SwqDmLtmXYiTMKHgktTP8We1SCoS47DrQ/edit?usp=sharing"",""จัดที่ดิน!BR46"")"),0)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IFERROR(__xludf.DUMMYFUNCTION("IMPORTRANGE(""https://docs.google.com/spreadsheets/d/1XWAQStnk-4SwqDmLtmXYiTMKHgktTP8We1SCoS47DrQ/edit?usp=sharing"",""จัดที่ดิน!BS46"")"),0)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IFERROR(__xludf.DUMMYFUNCTION("IMPORTRANGE(""https://docs.google.com/spreadsheets/d/1QqKyyYR6Q21VydFLVH3TRQUabQu_ym0Zz7PgGX0-kHA/edit?usp=sharing"",""แผน!IO46"")"),0)</f>
        <v>0</v>
      </c>
      <c r="J728" s="863">
        <f ca="1">IFERROR(__xludf.DUMMYFUNCTION("IMPORTRANGE(""https://docs.google.com/spreadsheets/d/1XWAQStnk-4SwqDmLtmXYiTMKHgktTP8We1SCoS47DrQ/edit?usp=sharing"",""จัดที่ดิน!BT46"")"),0)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IFERROR(__xludf.DUMMYFUNCTION("IMPORTRANGE(""https://docs.google.com/spreadsheets/d/1QqKyyYR6Q21VydFLVH3TRQUabQu_ym0Zz7PgGX0-kHA/edit?usp=sharing"",""แผน!IP46"")"),0)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3000</v>
      </c>
      <c r="J785" s="800">
        <f t="shared" ca="1" si="318"/>
        <v>93</v>
      </c>
      <c r="K785" s="801">
        <f ca="1">IF(I785&gt;0,J785*100/I785,0)</f>
        <v>3.1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213920</v>
      </c>
      <c r="M786" s="1000">
        <f t="shared" si="319"/>
        <v>0</v>
      </c>
      <c r="N786" s="1000">
        <f t="shared" si="319"/>
        <v>60045</v>
      </c>
      <c r="O786" s="1000">
        <f t="shared" ref="O786:O791" ca="1" si="320">IF(L786&gt;0,N786*100/L786,0)</f>
        <v>28.068904263275989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213920</v>
      </c>
      <c r="M788" s="870">
        <f t="shared" si="322"/>
        <v>0</v>
      </c>
      <c r="N788" s="870">
        <f t="shared" si="322"/>
        <v>60045</v>
      </c>
      <c r="O788" s="870">
        <f t="shared" ca="1" si="320"/>
        <v>28.068904263275989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213920</v>
      </c>
      <c r="M789" s="864">
        <f t="shared" si="323"/>
        <v>0</v>
      </c>
      <c r="N789" s="864">
        <f t="shared" si="323"/>
        <v>60045</v>
      </c>
      <c r="O789" s="864">
        <f t="shared" ca="1" si="320"/>
        <v>28.068904263275989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IFERROR(__xludf.DUMMYFUNCTION("IMPORTRANGE(""https://docs.google.com/spreadsheets/d/1QqKyyYR6Q21VydFLVH3TRQUabQu_ym0Zz7PgGX0-kHA/edit?usp=sharing"",""แผน!JJ46"")"),213920)</f>
        <v>213920</v>
      </c>
      <c r="M791" s="870">
        <v>0</v>
      </c>
      <c r="N791" s="870">
        <f>N792+N793+N794+N795</f>
        <v>60045</v>
      </c>
      <c r="O791" s="870">
        <f t="shared" ca="1" si="320"/>
        <v>28.068904263275989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2675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v>57370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IFERROR(__xludf.DUMMYFUNCTION("IMPORTRANGE(""https://docs.google.com/spreadsheets/d/1MaWodYyGHDf7siQLGxnXhG4mBNTNIuy296niS2xXulU/edit?usp=sharing"",""RTK!H46"")"),16)</f>
        <v>16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IFERROR(__xludf.DUMMYFUNCTION("IMPORTRANGE(""https://docs.google.com/spreadsheets/d/1MaWodYyGHDf7siQLGxnXhG4mBNTNIuy296niS2xXulU/edit?usp=sharing"",""RTK!G46"")"),3000)</f>
        <v>3000</v>
      </c>
      <c r="J801" s="815">
        <f ca="1">IFERROR(__xludf.DUMMYFUNCTION("IMPORTRANGE(""https://docs.google.com/spreadsheets/d/1MaWodYyGHDf7siQLGxnXhG4mBNTNIuy296niS2xXulU/edit?usp=sharing"",""RTK!I46"")"),93)</f>
        <v>93</v>
      </c>
      <c r="K801" s="816">
        <f ca="1">IF(I801&gt;0,J801*100/I801,0)</f>
        <v>3.1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306"/>
      <c r="B802" s="1307"/>
      <c r="C802" s="1307"/>
      <c r="D802" s="1307"/>
      <c r="E802" s="1295"/>
      <c r="F802" s="1470" t="s">
        <v>321</v>
      </c>
      <c r="G802" s="1092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IFERROR(__xludf.DUMMYFUNCTION("IMPORTRANGE(""https://docs.google.com/spreadsheets/d/1MaWodYyGHDf7siQLGxnXhG4mBNTNIuy296niS2xXulU/edit?usp=sharing"",""RTK!L46"")"),0)</f>
        <v>0</v>
      </c>
      <c r="K802" s="1466"/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>
      <c r="A803" s="1306"/>
      <c r="B803" s="1307"/>
      <c r="C803" s="1307"/>
      <c r="D803" s="1307"/>
      <c r="E803" s="1295"/>
      <c r="F803" s="1295"/>
      <c r="G803" s="1092"/>
      <c r="H803" s="813" t="s">
        <v>46</v>
      </c>
      <c r="I803" s="814">
        <f ca="1">IFERROR(__xludf.DUMMYFUNCTION("IMPORTRANGE(""https://docs.google.com/spreadsheets/d/1MaWodYyGHDf7siQLGxnXhG4mBNTNIuy296niS2xXulU/edit?usp=sharing"",""RTK!K46"")"),0)</f>
        <v>0</v>
      </c>
      <c r="J803" s="815">
        <f ca="1">IFERROR(__xludf.DUMMYFUNCTION("IMPORTRANGE(""https://docs.google.com/spreadsheets/d/1MaWodYyGHDf7siQLGxnXhG4mBNTNIuy296niS2xXulU/edit?usp=sharing"",""RTK!M46"")"),0)</f>
        <v>0</v>
      </c>
      <c r="K803" s="816">
        <f t="shared" ref="K803:K804" ca="1" si="327">IF(I803&gt;0,J803*100/I803,0)</f>
        <v>0</v>
      </c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IFERROR(__xludf.DUMMYFUNCTION("IMPORTRANGE(""https://docs.google.com/spreadsheets/d/19vJNZY_5yjcGF2XGBMNZRCAIB0Kwfpjp8YEOfu-bneM/edit?usp=sharing"",""งานกองทุน!D46"")"),7136452.39)</f>
        <v>7136452.3899999997</v>
      </c>
      <c r="J821" s="863">
        <f ca="1">IFERROR(__xludf.DUMMYFUNCTION("IMPORTRANGE(""https://docs.google.com/spreadsheets/d/19vJNZY_5yjcGF2XGBMNZRCAIB0Kwfpjp8YEOfu-bneM/edit?usp=sharing"",""งานกองทุน!F46"")"),3120355.91)</f>
        <v>3120355.91</v>
      </c>
      <c r="K821" s="864">
        <f t="shared" ref="K821:K828" ca="1" si="336">IF(I821&gt;0,J821*100/I821,0)</f>
        <v>43.724188707156777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IFERROR(__xludf.DUMMYFUNCTION("IMPORTRANGE(""https://docs.google.com/spreadsheets/d/19vJNZY_5yjcGF2XGBMNZRCAIB0Kwfpjp8YEOfu-bneM/edit?usp=sharing"",""งานกองทุน!C46"")"),364)</f>
        <v>364</v>
      </c>
      <c r="J822" s="863">
        <f ca="1">IFERROR(__xludf.DUMMYFUNCTION("IMPORTRANGE(""https://docs.google.com/spreadsheets/d/19vJNZY_5yjcGF2XGBMNZRCAIB0Kwfpjp8YEOfu-bneM/edit?usp=sharing"",""งานกองทุน!E46"")"),152)</f>
        <v>152</v>
      </c>
      <c r="K822" s="864">
        <f t="shared" ca="1" si="336"/>
        <v>41.758241758241759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863">
        <f ca="1">IFERROR(__xludf.DUMMYFUNCTION("IMPORTRANGE(""https://docs.google.com/spreadsheets/d/19vJNZY_5yjcGF2XGBMNZRCAIB0Kwfpjp8YEOfu-bneM/edit?usp=sharing"",""งานกองทุน!K46"")"),418873.09)</f>
        <v>418873.09</v>
      </c>
      <c r="K823" s="864">
        <f t="shared" ca="1" si="336"/>
        <v>6.9499882669725732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IFERROR(__xludf.DUMMYFUNCTION("IMPORTRANGE(""https://docs.google.com/spreadsheets/d/19vJNZY_5yjcGF2XGBMNZRCAIB0Kwfpjp8YEOfu-bneM/edit?usp=sharing"",""งานกองทุน!H46"")"),375)</f>
        <v>375</v>
      </c>
      <c r="J824" s="863">
        <f ca="1">IFERROR(__xludf.DUMMYFUNCTION("IMPORTRANGE(""https://docs.google.com/spreadsheets/d/19vJNZY_5yjcGF2XGBMNZRCAIB0Kwfpjp8YEOfu-bneM/edit?usp=sharing"",""งานกองทุน!J46"")"),67)</f>
        <v>67</v>
      </c>
      <c r="K824" s="864">
        <f t="shared" ca="1" si="336"/>
        <v>17.866666666666667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IFERROR(__xludf.DUMMYFUNCTION("IMPORTRANGE(""https://docs.google.com/spreadsheets/d/19vJNZY_5yjcGF2XGBMNZRCAIB0Kwfpjp8YEOfu-bneM/edit?usp=sharing"",""งานกองทุน!N46"")"),0)</f>
        <v>0</v>
      </c>
      <c r="J825" s="863">
        <f ca="1">IFERROR(__xludf.DUMMYFUNCTION("IMPORTRANGE(""https://docs.google.com/spreadsheets/d/19vJNZY_5yjcGF2XGBMNZRCAIB0Kwfpjp8YEOfu-bneM/edit?usp=sharing"",""งานกองทุน!P46"")"),1241555.51)</f>
        <v>1241555.51</v>
      </c>
      <c r="K825" s="864">
        <f t="shared" ca="1" si="336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IFERROR(__xludf.DUMMYFUNCTION("IMPORTRANGE(""https://docs.google.com/spreadsheets/d/19vJNZY_5yjcGF2XGBMNZRCAIB0Kwfpjp8YEOfu-bneM/edit?usp=sharing"",""งานกองทุน!M46"")"),0)</f>
        <v>0</v>
      </c>
      <c r="J826" s="863">
        <f ca="1">IFERROR(__xludf.DUMMYFUNCTION("IMPORTRANGE(""https://docs.google.com/spreadsheets/d/19vJNZY_5yjcGF2XGBMNZRCAIB0Kwfpjp8YEOfu-bneM/edit?usp=sharing"",""งานกองทุน!O46"")"),32)</f>
        <v>32</v>
      </c>
      <c r="K826" s="864">
        <f t="shared" ca="1" si="336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IFERROR(__xludf.DUMMYFUNCTION("IMPORTRANGE(""https://docs.google.com/spreadsheets/d/19vJNZY_5yjcGF2XGBMNZRCAIB0Kwfpjp8YEOfu-bneM/edit?usp=sharing"",""งานกองทุน!S46"")"),11100000)</f>
        <v>11100000</v>
      </c>
      <c r="J827" s="863">
        <f ca="1">IFERROR(__xludf.DUMMYFUNCTION("IMPORTRANGE(""https://docs.google.com/spreadsheets/d/19vJNZY_5yjcGF2XGBMNZRCAIB0Kwfpjp8YEOfu-bneM/edit?usp=sharing"",""งานกองทุน!U46"")"),4255000)</f>
        <v>4255000</v>
      </c>
      <c r="K827" s="864">
        <f t="shared" ca="1" si="336"/>
        <v>38.333333333333336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IFERROR(__xludf.DUMMYFUNCTION("IMPORTRANGE(""https://docs.google.com/spreadsheets/d/19vJNZY_5yjcGF2XGBMNZRCAIB0Kwfpjp8YEOfu-bneM/edit?usp=sharing"",""งานกองทุน!R46"")"),444)</f>
        <v>444</v>
      </c>
      <c r="J828" s="1117">
        <f ca="1">IFERROR(__xludf.DUMMYFUNCTION("IMPORTRANGE(""https://docs.google.com/spreadsheets/d/19vJNZY_5yjcGF2XGBMNZRCAIB0Kwfpjp8YEOfu-bneM/edit?usp=sharing"",""งานกองทุน!T46"")"),127)</f>
        <v>127</v>
      </c>
      <c r="K828" s="1215">
        <f t="shared" ca="1" si="336"/>
        <v>28.603603603603602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65AD-F0E9-4A28-9909-F22C1D178D9F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9" width="16.85546875" style="836" bestFit="1" customWidth="1"/>
    <col min="10" max="10" width="14.4257812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353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7044724</v>
      </c>
      <c r="M8" s="850">
        <f t="shared" ca="1" si="0"/>
        <v>4072206.08</v>
      </c>
      <c r="N8" s="850">
        <f t="shared" ca="1" si="0"/>
        <v>3105906.47</v>
      </c>
      <c r="O8" s="850">
        <f t="shared" ref="O8:O16" ca="1" si="1">IF(L8&gt;0,N8*100/L8,0)</f>
        <v>44.088405308710463</v>
      </c>
      <c r="P8" s="850">
        <f t="shared" ref="P8:P16" ca="1" si="2">IF(M8&gt;0,N8*100/M8,0)</f>
        <v>76.270856852116879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7044724</v>
      </c>
      <c r="M10" s="857">
        <f t="shared" ca="1" si="3"/>
        <v>4072206.08</v>
      </c>
      <c r="N10" s="857">
        <f t="shared" ca="1" si="3"/>
        <v>3105906.47</v>
      </c>
      <c r="O10" s="857">
        <f t="shared" ca="1" si="1"/>
        <v>44.088405308710463</v>
      </c>
      <c r="P10" s="857">
        <f t="shared" ca="1" si="2"/>
        <v>76.270856852116879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6661624</v>
      </c>
      <c r="M11" s="864">
        <f t="shared" ca="1" si="4"/>
        <v>3689106.08</v>
      </c>
      <c r="N11" s="864">
        <f t="shared" ca="1" si="4"/>
        <v>2722806.47</v>
      </c>
      <c r="O11" s="864">
        <f t="shared" ca="1" si="1"/>
        <v>40.873013397333743</v>
      </c>
      <c r="P11" s="864">
        <f t="shared" ca="1" si="2"/>
        <v>73.806673241556666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6661624</v>
      </c>
      <c r="M13" s="870">
        <f t="shared" ca="1" si="5"/>
        <v>3689106.08</v>
      </c>
      <c r="N13" s="870">
        <f t="shared" ca="1" si="5"/>
        <v>2722806.47</v>
      </c>
      <c r="O13" s="870">
        <f t="shared" ca="1" si="1"/>
        <v>40.873013397333743</v>
      </c>
      <c r="P13" s="870">
        <f t="shared" ca="1" si="2"/>
        <v>73.806673241556666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383100</v>
      </c>
      <c r="M14" s="864">
        <f t="shared" ca="1" si="6"/>
        <v>383100</v>
      </c>
      <c r="N14" s="864">
        <f t="shared" ca="1" si="6"/>
        <v>383100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383100</v>
      </c>
      <c r="M16" s="876">
        <f t="shared" ca="1" si="7"/>
        <v>383100</v>
      </c>
      <c r="N16" s="876">
        <f t="shared" ca="1" si="7"/>
        <v>383100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5014676</v>
      </c>
      <c r="M18" s="850">
        <f t="shared" ca="1" si="8"/>
        <v>4072206.08</v>
      </c>
      <c r="N18" s="850">
        <f t="shared" ca="1" si="8"/>
        <v>2504124.8400000003</v>
      </c>
      <c r="O18" s="850">
        <f t="shared" ref="O18:O26" ca="1" si="9">IF(L18&gt;0,N18*100/L18,0)</f>
        <v>49.935924873311862</v>
      </c>
      <c r="P18" s="850">
        <f t="shared" ref="P18:P26" ca="1" si="10">IF(M18&gt;0,N18*100/M18,0)</f>
        <v>61.493077481972627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5014676</v>
      </c>
      <c r="M20" s="857">
        <f t="shared" ca="1" si="11"/>
        <v>4072206.08</v>
      </c>
      <c r="N20" s="857">
        <f t="shared" ca="1" si="11"/>
        <v>2504124.8400000003</v>
      </c>
      <c r="O20" s="857">
        <f t="shared" ca="1" si="9"/>
        <v>49.935924873311862</v>
      </c>
      <c r="P20" s="857">
        <f t="shared" ca="1" si="10"/>
        <v>61.493077481972627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4631576</v>
      </c>
      <c r="M21" s="864">
        <f t="shared" ca="1" si="12"/>
        <v>3689106.08</v>
      </c>
      <c r="N21" s="864">
        <f t="shared" ca="1" si="12"/>
        <v>2121024.8400000003</v>
      </c>
      <c r="O21" s="864">
        <f t="shared" ca="1" si="9"/>
        <v>45.794883642198691</v>
      </c>
      <c r="P21" s="864">
        <f t="shared" ca="1" si="10"/>
        <v>57.494276228565383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4631576</v>
      </c>
      <c r="M23" s="870">
        <f t="shared" ca="1" si="13"/>
        <v>3689106.08</v>
      </c>
      <c r="N23" s="870">
        <f t="shared" ca="1" si="13"/>
        <v>2121024.8400000003</v>
      </c>
      <c r="O23" s="870">
        <f t="shared" ca="1" si="9"/>
        <v>45.794883642198691</v>
      </c>
      <c r="P23" s="870">
        <f t="shared" ca="1" si="10"/>
        <v>57.494276228565383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383100</v>
      </c>
      <c r="M24" s="864">
        <f t="shared" ca="1" si="14"/>
        <v>383100</v>
      </c>
      <c r="N24" s="864">
        <f t="shared" ca="1" si="14"/>
        <v>383100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383100</v>
      </c>
      <c r="M26" s="876">
        <f t="shared" ca="1" si="15"/>
        <v>383100</v>
      </c>
      <c r="N26" s="876">
        <f t="shared" ca="1" si="15"/>
        <v>383100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2030048</v>
      </c>
      <c r="M28" s="850">
        <f t="shared" si="16"/>
        <v>0</v>
      </c>
      <c r="N28" s="850">
        <f t="shared" si="16"/>
        <v>601781.63</v>
      </c>
      <c r="O28" s="850">
        <f t="shared" ref="O28:O37" ca="1" si="17">IF(L28&gt;0,N28*100/L28,0)</f>
        <v>29.643714335818661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2030048</v>
      </c>
      <c r="M30" s="857">
        <f t="shared" si="19"/>
        <v>0</v>
      </c>
      <c r="N30" s="857">
        <f t="shared" si="19"/>
        <v>601781.63</v>
      </c>
      <c r="O30" s="857">
        <f t="shared" ca="1" si="17"/>
        <v>29.643714335818661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2030048</v>
      </c>
      <c r="M31" s="864">
        <f t="shared" si="20"/>
        <v>0</v>
      </c>
      <c r="N31" s="864">
        <f t="shared" si="20"/>
        <v>601781.63</v>
      </c>
      <c r="O31" s="864">
        <f t="shared" ca="1" si="17"/>
        <v>29.643714335818661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2030048</v>
      </c>
      <c r="M33" s="870">
        <f t="shared" si="21"/>
        <v>0</v>
      </c>
      <c r="N33" s="870">
        <f t="shared" si="21"/>
        <v>601781.63</v>
      </c>
      <c r="O33" s="870">
        <f t="shared" ca="1" si="17"/>
        <v>29.643714335818661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5014676</v>
      </c>
      <c r="M37" s="883">
        <f t="shared" ca="1" si="24"/>
        <v>4072206.08</v>
      </c>
      <c r="N37" s="883">
        <f t="shared" ca="1" si="24"/>
        <v>2504124.8400000003</v>
      </c>
      <c r="O37" s="883">
        <f t="shared" ca="1" si="17"/>
        <v>49.935924873311862</v>
      </c>
      <c r="P37" s="883">
        <f t="shared" ca="1" si="18"/>
        <v>61.493077481972627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699341</v>
      </c>
      <c r="M41" s="908">
        <f t="shared" ca="1" si="25"/>
        <v>709941.08</v>
      </c>
      <c r="N41" s="908">
        <f t="shared" ca="1" si="25"/>
        <v>350065</v>
      </c>
      <c r="O41" s="908">
        <f t="shared" ref="O41:O49" ca="1" si="26">IF(L41&gt;0,N41*100/L41,0)</f>
        <v>50.056410249077345</v>
      </c>
      <c r="P41" s="908">
        <f t="shared" ref="P41:P49" ca="1" si="27">IF(M41&gt;0,N41*100/M41,0)</f>
        <v>49.309021531758667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699341</v>
      </c>
      <c r="M43" s="914">
        <f t="shared" ca="1" si="28"/>
        <v>709941.08</v>
      </c>
      <c r="N43" s="914">
        <f t="shared" ca="1" si="28"/>
        <v>350065</v>
      </c>
      <c r="O43" s="914">
        <f t="shared" ca="1" si="26"/>
        <v>50.056410249077345</v>
      </c>
      <c r="P43" s="914">
        <f t="shared" ca="1" si="27"/>
        <v>49.309021531758667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699341</v>
      </c>
      <c r="M44" s="864">
        <f t="shared" ca="1" si="29"/>
        <v>709941.08</v>
      </c>
      <c r="N44" s="864">
        <f t="shared" ca="1" si="29"/>
        <v>350065</v>
      </c>
      <c r="O44" s="864">
        <f t="shared" ca="1" si="26"/>
        <v>50.056410249077345</v>
      </c>
      <c r="P44" s="864">
        <f t="shared" ca="1" si="27"/>
        <v>49.309021531758667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IFERROR(__xludf.DUMMYFUNCTION("IMPORTRANGE(""https://docs.google.com/spreadsheets/d/1MeEWN-I1oV_STSDYn1IFDPWt_1FKiwhDph83XaGc0o0/edit?usp=sharing"",""งบพรบ!M47"")"),699341)</f>
        <v>699341</v>
      </c>
      <c r="M46" s="870">
        <f ca="1">IFERROR(__xludf.DUMMYFUNCTION("IMPORTRANGE(""https://docs.google.com/spreadsheets/d/1MeEWN-I1oV_STSDYn1IFDPWt_1FKiwhDph83XaGc0o0/edit?usp=sharing"",""งบพรบ!R47"")"),709941.08)</f>
        <v>709941.08</v>
      </c>
      <c r="N46" s="870">
        <f ca="1">IFERROR(__xludf.DUMMYFUNCTION("IMPORTRANGE(""https://docs.google.com/spreadsheets/d/1MeEWN-I1oV_STSDYn1IFDPWt_1FKiwhDph83XaGc0o0/edit?usp=sharing"",""งบพรบ!T47"")"),350065)</f>
        <v>350065</v>
      </c>
      <c r="O46" s="870">
        <f t="shared" ca="1" si="26"/>
        <v>50.056410249077345</v>
      </c>
      <c r="P46" s="870">
        <f t="shared" ca="1" si="27"/>
        <v>49.309021531758667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IFERROR(__xludf.DUMMYFUNCTION("IMPORTRANGE(""https://docs.google.com/spreadsheets/d/1MeEWN-I1oV_STSDYn1IFDPWt_1FKiwhDph83XaGc0o0/edit?usp=sharing"",""งบพรบ!P47"")"),0)</f>
        <v>0</v>
      </c>
      <c r="M49" s="876">
        <f ca="1">IFERROR(__xludf.DUMMYFUNCTION("IMPORTRANGE(""https://docs.google.com/spreadsheets/d/1MeEWN-I1oV_STSDYn1IFDPWt_1FKiwhDph83XaGc0o0/edit?usp=sharing"",""งบพรบ!S47"")"),0)</f>
        <v>0</v>
      </c>
      <c r="N49" s="876">
        <f ca="1">IFERROR(__xludf.DUMMYFUNCTION("IMPORTRANGE(""https://docs.google.com/spreadsheets/d/1MeEWN-I1oV_STSDYn1IFDPWt_1FKiwhDph83XaGc0o0/edit?usp=sharing"",""งบพรบ!U47"")"),0)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842400</v>
      </c>
      <c r="M53" s="936">
        <f t="shared" ca="1" si="31"/>
        <v>632700</v>
      </c>
      <c r="N53" s="936">
        <f t="shared" ca="1" si="31"/>
        <v>358589.51</v>
      </c>
      <c r="O53" s="936">
        <f t="shared" ref="O53:O61" ca="1" si="32">IF(L53&gt;0,N53*100/L53,0)</f>
        <v>42.567605650522317</v>
      </c>
      <c r="P53" s="936">
        <f t="shared" ref="P53:P61" ca="1" si="33">IF(M53&gt;0,N53*100/M53,0)</f>
        <v>56.676072388177651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842400</v>
      </c>
      <c r="M55" s="942">
        <f t="shared" ca="1" si="34"/>
        <v>632700</v>
      </c>
      <c r="N55" s="942">
        <f t="shared" ca="1" si="34"/>
        <v>358589.51</v>
      </c>
      <c r="O55" s="942">
        <f t="shared" ca="1" si="32"/>
        <v>42.567605650522317</v>
      </c>
      <c r="P55" s="942">
        <f t="shared" ca="1" si="33"/>
        <v>56.676072388177651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842400</v>
      </c>
      <c r="M56" s="864">
        <f t="shared" ca="1" si="35"/>
        <v>632700</v>
      </c>
      <c r="N56" s="864">
        <f t="shared" ca="1" si="35"/>
        <v>358589.51</v>
      </c>
      <c r="O56" s="864">
        <f t="shared" ca="1" si="32"/>
        <v>42.567605650522317</v>
      </c>
      <c r="P56" s="864">
        <f t="shared" ca="1" si="33"/>
        <v>56.676072388177651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IFERROR(__xludf.DUMMYFUNCTION("IMPORTRANGE(""https://docs.google.com/spreadsheets/d/1MeEWN-I1oV_STSDYn1IFDPWt_1FKiwhDph83XaGc0o0/edit?usp=sharing"",""งบพรบ!W47"")"),842400)</f>
        <v>842400</v>
      </c>
      <c r="M58" s="870">
        <f ca="1">IFERROR(__xludf.DUMMYFUNCTION("IMPORTRANGE(""https://docs.google.com/spreadsheets/d/1MeEWN-I1oV_STSDYn1IFDPWt_1FKiwhDph83XaGc0o0/edit?usp=sharing"",""งบพรบ!AB47"")"),632700)</f>
        <v>632700</v>
      </c>
      <c r="N58" s="870">
        <f ca="1">IFERROR(__xludf.DUMMYFUNCTION("IMPORTRANGE(""https://docs.google.com/spreadsheets/d/1MeEWN-I1oV_STSDYn1IFDPWt_1FKiwhDph83XaGc0o0/edit?usp=sharing"",""งบพรบ!AD47"")"),358589.51)</f>
        <v>358589.51</v>
      </c>
      <c r="O58" s="870">
        <f t="shared" ca="1" si="32"/>
        <v>42.567605650522317</v>
      </c>
      <c r="P58" s="870">
        <f t="shared" ca="1" si="33"/>
        <v>56.676072388177651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IFERROR(__xludf.DUMMYFUNCTION("IMPORTRANGE(""https://docs.google.com/spreadsheets/d/1MeEWN-I1oV_STSDYn1IFDPWt_1FKiwhDph83XaGc0o0/edit?usp=sharing"",""งบพรบ!Z47"")"),0)</f>
        <v>0</v>
      </c>
      <c r="M61" s="876">
        <f ca="1">IFERROR(__xludf.DUMMYFUNCTION("IMPORTRANGE(""https://docs.google.com/spreadsheets/d/1MeEWN-I1oV_STSDYn1IFDPWt_1FKiwhDph83XaGc0o0/edit?usp=sharing"",""งบพรบ!AC47"")"),0)</f>
        <v>0</v>
      </c>
      <c r="N61" s="876">
        <f ca="1">IFERROR(__xludf.DUMMYFUNCTION("IMPORTRANGE(""https://docs.google.com/spreadsheets/d/1MeEWN-I1oV_STSDYn1IFDPWt_1FKiwhDph83XaGc0o0/edit?usp=sharing"",""งบพรบ!AE47"")"),0)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2</v>
      </c>
      <c r="J64" s="962">
        <f t="shared" si="37"/>
        <v>2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114</v>
      </c>
      <c r="J65" s="962">
        <f t="shared" si="37"/>
        <v>114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1380900</v>
      </c>
      <c r="M66" s="972">
        <f t="shared" ca="1" si="39"/>
        <v>1063010</v>
      </c>
      <c r="N66" s="972">
        <f t="shared" ca="1" si="39"/>
        <v>656237.38</v>
      </c>
      <c r="O66" s="972">
        <f t="shared" ref="O66:O74" ca="1" si="40">IF(L66&gt;0,N66*100/L66,0)</f>
        <v>47.5224404373959</v>
      </c>
      <c r="P66" s="972">
        <f t="shared" ref="P66:P74" ca="1" si="41">IF(M66&gt;0,N66*100/M66,0)</f>
        <v>61.733885852437886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1380900</v>
      </c>
      <c r="M68" s="870">
        <f t="shared" ca="1" si="42"/>
        <v>1063010</v>
      </c>
      <c r="N68" s="870">
        <f t="shared" ca="1" si="42"/>
        <v>656237.38</v>
      </c>
      <c r="O68" s="870">
        <f t="shared" ca="1" si="40"/>
        <v>47.5224404373959</v>
      </c>
      <c r="P68" s="870">
        <f t="shared" ca="1" si="41"/>
        <v>61.733885852437886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1380900</v>
      </c>
      <c r="M69" s="864">
        <f t="shared" ca="1" si="43"/>
        <v>1063010</v>
      </c>
      <c r="N69" s="864">
        <f t="shared" ca="1" si="43"/>
        <v>656237.38</v>
      </c>
      <c r="O69" s="864">
        <f t="shared" ca="1" si="40"/>
        <v>47.5224404373959</v>
      </c>
      <c r="P69" s="864">
        <f t="shared" ca="1" si="41"/>
        <v>61.733885852437886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IFERROR(__xludf.DUMMYFUNCTION("IMPORTRANGE(""https://docs.google.com/spreadsheets/d/1MeEWN-I1oV_STSDYn1IFDPWt_1FKiwhDph83XaGc0o0/edit?usp=sharing"",""งบพรบ!AG47"")"),1380900)</f>
        <v>1380900</v>
      </c>
      <c r="M71" s="870">
        <f ca="1">IFERROR(__xludf.DUMMYFUNCTION("IMPORTRANGE(""https://docs.google.com/spreadsheets/d/1MeEWN-I1oV_STSDYn1IFDPWt_1FKiwhDph83XaGc0o0/edit?usp=sharing"",""งบพรบ!AL47"")"),1063010)</f>
        <v>1063010</v>
      </c>
      <c r="N71" s="870">
        <f ca="1">IFERROR(__xludf.DUMMYFUNCTION("IMPORTRANGE(""https://docs.google.com/spreadsheets/d/1MeEWN-I1oV_STSDYn1IFDPWt_1FKiwhDph83XaGc0o0/edit?usp=sharing"",""งบพรบ!AN47"")"),656237.38)</f>
        <v>656237.38</v>
      </c>
      <c r="O71" s="870">
        <f t="shared" ca="1" si="40"/>
        <v>47.5224404373959</v>
      </c>
      <c r="P71" s="870">
        <f t="shared" ca="1" si="41"/>
        <v>61.733885852437886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IFERROR(__xludf.DUMMYFUNCTION("IMPORTRANGE(""https://docs.google.com/spreadsheets/d/1MeEWN-I1oV_STSDYn1IFDPWt_1FKiwhDph83XaGc0o0/edit?usp=sharing"",""งบพรบ!AJ47"")"),0)</f>
        <v>0</v>
      </c>
      <c r="M74" s="870">
        <f ca="1">IFERROR(__xludf.DUMMYFUNCTION("IMPORTRANGE(""https://docs.google.com/spreadsheets/d/1MeEWN-I1oV_STSDYn1IFDPWt_1FKiwhDph83XaGc0o0/edit?usp=sharing"",""งบพรบ!AM47"")"),0)</f>
        <v>0</v>
      </c>
      <c r="N74" s="870">
        <f ca="1">IFERROR(__xludf.DUMMYFUNCTION("IMPORTRANGE(""https://docs.google.com/spreadsheets/d/1MeEWN-I1oV_STSDYn1IFDPWt_1FKiwhDph83XaGc0o0/edit?usp=sharing"",""งบพรบ!AO47"")"),0)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2</v>
      </c>
      <c r="J76" s="863">
        <f t="shared" si="45"/>
        <v>2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114</v>
      </c>
      <c r="J77" s="863">
        <f t="shared" si="45"/>
        <v>114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IFERROR(__xludf.DUMMYFUNCTION("IMPORTRANGE(""https://docs.google.com/spreadsheets/d/1QqKyyYR6Q21VydFLVH3TRQUabQu_ym0Zz7PgGX0-kHA/edit?usp=sharing"",""แผน!H47"")"),1)</f>
        <v>1</v>
      </c>
      <c r="J78" s="992">
        <v>1</v>
      </c>
      <c r="K78" s="978">
        <f t="shared" ca="1" si="46"/>
        <v>100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IFERROR(__xludf.DUMMYFUNCTION("IMPORTRANGE(""https://docs.google.com/spreadsheets/d/1QqKyyYR6Q21VydFLVH3TRQUabQu_ym0Zz7PgGX0-kHA/edit?usp=sharing"",""แผน!I47"")"),50)</f>
        <v>50</v>
      </c>
      <c r="J79" s="992">
        <v>50</v>
      </c>
      <c r="K79" s="978">
        <f t="shared" ca="1" si="46"/>
        <v>100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IFERROR(__xludf.DUMMYFUNCTION("IMPORTRANGE(""https://docs.google.com/spreadsheets/d/1QqKyyYR6Q21VydFLVH3TRQUabQu_ym0Zz7PgGX0-kHA/edit?usp=sharing"",""แผน!F47"")"),0)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IFERROR(__xludf.DUMMYFUNCTION("IMPORTRANGE(""https://docs.google.com/spreadsheets/d/1QqKyyYR6Q21VydFLVH3TRQUabQu_ym0Zz7PgGX0-kHA/edit?usp=sharing"",""แผน!G47"")"),0)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IFERROR(__xludf.DUMMYFUNCTION("IMPORTRANGE(""https://docs.google.com/spreadsheets/d/1QqKyyYR6Q21VydFLVH3TRQUabQu_ym0Zz7PgGX0-kHA/edit?usp=sharing"",""แผน!D47"")"),1)</f>
        <v>1</v>
      </c>
      <c r="J82" s="992">
        <v>1</v>
      </c>
      <c r="K82" s="978">
        <f t="shared" ca="1" si="46"/>
        <v>100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IFERROR(__xludf.DUMMYFUNCTION("IMPORTRANGE(""https://docs.google.com/spreadsheets/d/1QqKyyYR6Q21VydFLVH3TRQUabQu_ym0Zz7PgGX0-kHA/edit?usp=sharing"",""แผน!E47"")"),64)</f>
        <v>64</v>
      </c>
      <c r="J83" s="992">
        <v>64</v>
      </c>
      <c r="K83" s="978">
        <f t="shared" ca="1" si="46"/>
        <v>100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IFERROR(__xludf.DUMMYFUNCTION("IMPORTRANGE(""https://docs.google.com/spreadsheets/d/1QqKyyYR6Q21VydFLVH3TRQUabQu_ym0Zz7PgGX0-kHA/edit?usp=sharing"",""แผน!J47"")"),2)</f>
        <v>2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60</v>
      </c>
      <c r="J86" s="962">
        <f t="shared" si="47"/>
        <v>60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20</v>
      </c>
      <c r="J87" s="962">
        <f t="shared" si="47"/>
        <v>20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140780</v>
      </c>
      <c r="M88" s="972">
        <f t="shared" ca="1" si="49"/>
        <v>101480</v>
      </c>
      <c r="N88" s="972">
        <f t="shared" ca="1" si="49"/>
        <v>58855</v>
      </c>
      <c r="O88" s="972">
        <f t="shared" ref="O88:O96" ca="1" si="50">IF(L88&gt;0,N88*100/L88,0)</f>
        <v>41.806364540417675</v>
      </c>
      <c r="P88" s="972">
        <f t="shared" ref="P88:P96" ca="1" si="51">IF(M88&gt;0,N88*100/M88,0)</f>
        <v>57.996649586125343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140780</v>
      </c>
      <c r="M90" s="870">
        <f t="shared" ca="1" si="52"/>
        <v>101480</v>
      </c>
      <c r="N90" s="870">
        <f t="shared" ca="1" si="52"/>
        <v>58855</v>
      </c>
      <c r="O90" s="870">
        <f t="shared" ca="1" si="50"/>
        <v>41.806364540417675</v>
      </c>
      <c r="P90" s="870">
        <f t="shared" ca="1" si="51"/>
        <v>57.996649586125343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140780</v>
      </c>
      <c r="M91" s="864">
        <f t="shared" ca="1" si="53"/>
        <v>101480</v>
      </c>
      <c r="N91" s="864">
        <f t="shared" ca="1" si="53"/>
        <v>58855</v>
      </c>
      <c r="O91" s="864">
        <f t="shared" ca="1" si="50"/>
        <v>41.806364540417675</v>
      </c>
      <c r="P91" s="864">
        <f t="shared" ca="1" si="51"/>
        <v>57.996649586125343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IFERROR(__xludf.DUMMYFUNCTION("IMPORTRANGE(""https://docs.google.com/spreadsheets/d/1MeEWN-I1oV_STSDYn1IFDPWt_1FKiwhDph83XaGc0o0/edit?usp=sharing"",""งบพรบ!AQ47"")"),140780)</f>
        <v>140780</v>
      </c>
      <c r="M93" s="870">
        <f ca="1">IFERROR(__xludf.DUMMYFUNCTION("IMPORTRANGE(""https://docs.google.com/spreadsheets/d/1MeEWN-I1oV_STSDYn1IFDPWt_1FKiwhDph83XaGc0o0/edit?usp=sharing"",""งบพรบ!AV47"")"),101480)</f>
        <v>101480</v>
      </c>
      <c r="N93" s="870">
        <f ca="1">IFERROR(__xludf.DUMMYFUNCTION("IMPORTRANGE(""https://docs.google.com/spreadsheets/d/1MeEWN-I1oV_STSDYn1IFDPWt_1FKiwhDph83XaGc0o0/edit?usp=sharing"",""งบพรบ!AX47"")"),58855)</f>
        <v>58855</v>
      </c>
      <c r="O93" s="870">
        <f t="shared" ca="1" si="50"/>
        <v>41.806364540417675</v>
      </c>
      <c r="P93" s="870">
        <f t="shared" ca="1" si="51"/>
        <v>57.996649586125343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IFERROR(__xludf.DUMMYFUNCTION("IMPORTRANGE(""https://docs.google.com/spreadsheets/d/1MeEWN-I1oV_STSDYn1IFDPWt_1FKiwhDph83XaGc0o0/edit?usp=sharing"",""งบพรบ!AT47"")"),0)</f>
        <v>0</v>
      </c>
      <c r="M96" s="870">
        <f ca="1">IFERROR(__xludf.DUMMYFUNCTION("IMPORTRANGE(""https://docs.google.com/spreadsheets/d/1MeEWN-I1oV_STSDYn1IFDPWt_1FKiwhDph83XaGc0o0/edit?usp=sharing"",""งบพรบ!AW47"")"),0)</f>
        <v>0</v>
      </c>
      <c r="N96" s="870">
        <f ca="1">IFERROR(__xludf.DUMMYFUNCTION("IMPORTRANGE(""https://docs.google.com/spreadsheets/d/1MeEWN-I1oV_STSDYn1IFDPWt_1FKiwhDph83XaGc0o0/edit?usp=sharing"",""งบพรบ!AY47"")"),0)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IFERROR(__xludf.DUMMYFUNCTION("IMPORTRANGE(""https://docs.google.com/spreadsheets/d/1QqKyyYR6Q21VydFLVH3TRQUabQu_ym0Zz7PgGX0-kHA/edit?usp=sharing"",""แผน!K47"")"),60)</f>
        <v>60</v>
      </c>
      <c r="J98" s="863">
        <f>J102</f>
        <v>60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IFERROR(__xludf.DUMMYFUNCTION("IMPORTRANGE(""https://docs.google.com/spreadsheets/d/1QqKyyYR6Q21VydFLVH3TRQUabQu_ym0Zz7PgGX0-kHA/edit?usp=sharing"",""แผน!L47"")"),20)</f>
        <v>20</v>
      </c>
      <c r="J99" s="863">
        <f>J104</f>
        <v>20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IFERROR(__xludf.DUMMYFUNCTION("IMPORTRANGE(""https://docs.google.com/spreadsheets/d/1QqKyyYR6Q21VydFLVH3TRQUabQu_ym0Zz7PgGX0-kHA/edit?usp=sharing"",""แผน!M47"")"),3)</f>
        <v>3</v>
      </c>
      <c r="J100" s="863">
        <f>J107+J110</f>
        <v>2</v>
      </c>
      <c r="K100" s="864">
        <f t="shared" ca="1" si="55"/>
        <v>66.666666666666671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IFERROR(__xludf.DUMMYFUNCTION("IMPORTRANGE(""https://docs.google.com/spreadsheets/d/1QqKyyYR6Q21VydFLVH3TRQUabQu_ym0Zz7PgGX0-kHA/edit?usp=sharing"",""แผน!N47"")"),60)</f>
        <v>60</v>
      </c>
      <c r="J102" s="992">
        <v>60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IFERROR(__xludf.DUMMYFUNCTION("IMPORTRANGE(""https://docs.google.com/spreadsheets/d/1QqKyyYR6Q21VydFLVH3TRQUabQu_ym0Zz7PgGX0-kHA/edit?usp=sharing"",""แผน!O47"")"),20)</f>
        <v>20</v>
      </c>
      <c r="J103" s="992">
        <v>20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IFERROR(__xludf.DUMMYFUNCTION("IMPORTRANGE(""https://docs.google.com/spreadsheets/d/1QqKyyYR6Q21VydFLVH3TRQUabQu_ym0Zz7PgGX0-kHA/edit?usp=sharing"",""แผน!O47"")"),20)</f>
        <v>20</v>
      </c>
      <c r="J104" s="992">
        <v>20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IFERROR(__xludf.DUMMYFUNCTION("IMPORTRANGE(""https://docs.google.com/spreadsheets/d/1QqKyyYR6Q21VydFLVH3TRQUabQu_ym0Zz7PgGX0-kHA/edit?usp=sharing"",""แผน!P47"")"),2)</f>
        <v>2</v>
      </c>
      <c r="J106" s="992">
        <v>2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IFERROR(__xludf.DUMMYFUNCTION("IMPORTRANGE(""https://docs.google.com/spreadsheets/d/1QqKyyYR6Q21VydFLVH3TRQUabQu_ym0Zz7PgGX0-kHA/edit?usp=sharing"",""แผน!P47"")"),2)</f>
        <v>2</v>
      </c>
      <c r="J107" s="992">
        <v>2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IFERROR(__xludf.DUMMYFUNCTION("IMPORTRANGE(""https://docs.google.com/spreadsheets/d/1QqKyyYR6Q21VydFLVH3TRQUabQu_ym0Zz7PgGX0-kHA/edit?usp=sharing"",""แผน!Q47"")"),1)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IFERROR(__xludf.DUMMYFUNCTION("IMPORTRANGE(""https://docs.google.com/spreadsheets/d/1QqKyyYR6Q21VydFLVH3TRQUabQu_ym0Zz7PgGX0-kHA/edit?usp=sharing"",""แผน!Q47"")"),1)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IFERROR(__xludf.DUMMYFUNCTION("IMPORTRANGE(""https://docs.google.com/spreadsheets/d/1QqKyyYR6Q21VydFLVH3TRQUabQu_ym0Zz7PgGX0-kHA/edit?usp=sharing"",""แผน!R47"")"),20)</f>
        <v>20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3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IFERROR(__xludf.DUMMYFUNCTION("IMPORTRANGE(""https://docs.google.com/spreadsheets/d/1QqKyyYR6Q21VydFLVH3TRQUabQu_ym0Zz7PgGX0-kHA/edit?usp=sharing"",""แผน!R47"")"),20)</f>
        <v>20</v>
      </c>
      <c r="J113" s="992"/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IFERROR(__xludf.DUMMYFUNCTION("IMPORTRANGE(""https://docs.google.com/spreadsheets/d/1QqKyyYR6Q21VydFLVH3TRQUabQu_ym0Zz7PgGX0-kHA/edit?usp=sharing"",""แผน!R47"")"),20)</f>
        <v>20</v>
      </c>
      <c r="J114" s="992"/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IFERROR(__xludf.DUMMYFUNCTION("IMPORTRANGE(""https://docs.google.com/spreadsheets/d/1QqKyyYR6Q21VydFLVH3TRQUabQu_ym0Zz7PgGX0-kHA/edit?usp=sharing"",""แผน!S47"")"),2)</f>
        <v>2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IFERROR(__xludf.DUMMYFUNCTION("IMPORTRANGE(""https://docs.google.com/spreadsheets/d/1QqKyyYR6Q21VydFLVH3TRQUabQu_ym0Zz7PgGX0-kHA/edit?usp=sharing"",""แผน!T47"")"),1)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IFERROR(__xludf.DUMMYFUNCTION("IMPORTRANGE(""https://docs.google.com/spreadsheets/d/1MeEWN-I1oV_STSDYn1IFDPWt_1FKiwhDph83XaGc0o0/edit?usp=sharing"",""งบพรบ!BA47"")"),0)</f>
        <v>0</v>
      </c>
      <c r="M124" s="870">
        <f ca="1">IFERROR(__xludf.DUMMYFUNCTION("IMPORTRANGE(""https://docs.google.com/spreadsheets/d/1MeEWN-I1oV_STSDYn1IFDPWt_1FKiwhDph83XaGc0o0/edit?usp=sharing"",""งบพรบ!BF47"")"),0)</f>
        <v>0</v>
      </c>
      <c r="N124" s="870">
        <f ca="1">IFERROR(__xludf.DUMMYFUNCTION("IMPORTRANGE(""https://docs.google.com/spreadsheets/d/1MeEWN-I1oV_STSDYn1IFDPWt_1FKiwhDph83XaGc0o0/edit?usp=sharing"",""งบพรบ!BH47"")"),0)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IFERROR(__xludf.DUMMYFUNCTION("IMPORTRANGE(""https://docs.google.com/spreadsheets/d/1MeEWN-I1oV_STSDYn1IFDPWt_1FKiwhDph83XaGc0o0/edit?usp=sharing"",""งบพรบ!BD47"")"),0)</f>
        <v>0</v>
      </c>
      <c r="M127" s="870">
        <f ca="1">IFERROR(__xludf.DUMMYFUNCTION("IMPORTRANGE(""https://docs.google.com/spreadsheets/d/1MeEWN-I1oV_STSDYn1IFDPWt_1FKiwhDph83XaGc0o0/edit?usp=sharing"",""งบพรบ!BG47"")"),0)</f>
        <v>0</v>
      </c>
      <c r="N127" s="870">
        <f ca="1">IFERROR(__xludf.DUMMYFUNCTION("IMPORTRANGE(""https://docs.google.com/spreadsheets/d/1MeEWN-I1oV_STSDYn1IFDPWt_1FKiwhDph83XaGc0o0/edit?usp=sharing"",""งบพรบ!BI47"")"),0)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3</v>
      </c>
      <c r="J130" s="962">
        <f t="shared" si="66"/>
        <v>3</v>
      </c>
      <c r="K130" s="963">
        <f t="shared" ref="K130:K131" ca="1" si="67">IF(I130&gt;0,J130*100/I130,0)</f>
        <v>100</v>
      </c>
      <c r="L130" s="964"/>
      <c r="M130" s="964"/>
      <c r="N130" s="964"/>
      <c r="O130" s="964"/>
      <c r="P130" s="964"/>
    </row>
    <row r="131" spans="1:26" ht="19.5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30</v>
      </c>
      <c r="J131" s="962">
        <f t="shared" ca="1" si="68"/>
        <v>30</v>
      </c>
      <c r="K131" s="963">
        <f t="shared" ca="1" si="67"/>
        <v>100</v>
      </c>
      <c r="L131" s="964"/>
      <c r="M131" s="964"/>
      <c r="N131" s="964"/>
      <c r="O131" s="964"/>
      <c r="P131" s="964"/>
    </row>
    <row r="132" spans="1:26" ht="19.5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454965</v>
      </c>
      <c r="M132" s="972">
        <f t="shared" ca="1" si="69"/>
        <v>440600</v>
      </c>
      <c r="N132" s="972">
        <f t="shared" ca="1" si="69"/>
        <v>404670</v>
      </c>
      <c r="O132" s="972">
        <f t="shared" ref="O132:O140" ca="1" si="70">IF(L132&gt;0,N132*100/L132,0)</f>
        <v>88.945303484883453</v>
      </c>
      <c r="P132" s="972">
        <f t="shared" ref="P132:P140" ca="1" si="71">IF(M132&gt;0,N132*100/M132,0)</f>
        <v>91.845211075805722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454965</v>
      </c>
      <c r="M134" s="870">
        <f t="shared" ca="1" si="72"/>
        <v>440600</v>
      </c>
      <c r="N134" s="870">
        <f t="shared" ca="1" si="72"/>
        <v>404670</v>
      </c>
      <c r="O134" s="870">
        <f t="shared" ca="1" si="70"/>
        <v>88.945303484883453</v>
      </c>
      <c r="P134" s="870">
        <f t="shared" ca="1" si="71"/>
        <v>91.845211075805722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145965</v>
      </c>
      <c r="M135" s="864">
        <f t="shared" ca="1" si="73"/>
        <v>131600</v>
      </c>
      <c r="N135" s="864">
        <f t="shared" ca="1" si="73"/>
        <v>95670</v>
      </c>
      <c r="O135" s="864">
        <f t="shared" ca="1" si="70"/>
        <v>65.543109649573523</v>
      </c>
      <c r="P135" s="864">
        <f t="shared" ca="1" si="71"/>
        <v>72.69756838905775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IFERROR(__xludf.DUMMYFUNCTION("IMPORTRANGE(""https://docs.google.com/spreadsheets/d/1MeEWN-I1oV_STSDYn1IFDPWt_1FKiwhDph83XaGc0o0/edit?usp=sharing"",""งบพรบ!BK47"")"),145965)</f>
        <v>145965</v>
      </c>
      <c r="M137" s="870">
        <f ca="1">IFERROR(__xludf.DUMMYFUNCTION("IMPORTRANGE(""https://docs.google.com/spreadsheets/d/1MeEWN-I1oV_STSDYn1IFDPWt_1FKiwhDph83XaGc0o0/edit?usp=sharing"",""งบพรบ!BP47"")"),131600)</f>
        <v>131600</v>
      </c>
      <c r="N137" s="870">
        <f ca="1">IFERROR(__xludf.DUMMYFUNCTION("IMPORTRANGE(""https://docs.google.com/spreadsheets/d/1MeEWN-I1oV_STSDYn1IFDPWt_1FKiwhDph83XaGc0o0/edit?usp=sharing"",""งบพรบ!BR47"")"),95670)</f>
        <v>95670</v>
      </c>
      <c r="O137" s="870">
        <f t="shared" ca="1" si="70"/>
        <v>65.543109649573523</v>
      </c>
      <c r="P137" s="870">
        <f t="shared" ca="1" si="71"/>
        <v>72.69756838905775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309000</v>
      </c>
      <c r="M138" s="864">
        <f t="shared" ca="1" si="74"/>
        <v>309000</v>
      </c>
      <c r="N138" s="864">
        <f t="shared" ca="1" si="74"/>
        <v>309000</v>
      </c>
      <c r="O138" s="864">
        <f t="shared" ca="1" si="70"/>
        <v>100</v>
      </c>
      <c r="P138" s="864">
        <f t="shared" ca="1" si="71"/>
        <v>100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IFERROR(__xludf.DUMMYFUNCTION("IMPORTRANGE(""https://docs.google.com/spreadsheets/d/1MeEWN-I1oV_STSDYn1IFDPWt_1FKiwhDph83XaGc0o0/edit?usp=sharing"",""งบพรบ!BN47"")"),309000)</f>
        <v>309000</v>
      </c>
      <c r="M140" s="870">
        <f ca="1">IFERROR(__xludf.DUMMYFUNCTION("IMPORTRANGE(""https://docs.google.com/spreadsheets/d/1MeEWN-I1oV_STSDYn1IFDPWt_1FKiwhDph83XaGc0o0/edit?usp=sharing"",""งบพรบ!BQ47"")"),309000)</f>
        <v>309000</v>
      </c>
      <c r="N140" s="870">
        <f ca="1">IFERROR(__xludf.DUMMYFUNCTION("IMPORTRANGE(""https://docs.google.com/spreadsheets/d/1MeEWN-I1oV_STSDYn1IFDPWt_1FKiwhDph83XaGc0o0/edit?usp=sharing"",""งบพรบ!BS47"")"),309000)</f>
        <v>309000</v>
      </c>
      <c r="O140" s="870">
        <f t="shared" ca="1" si="70"/>
        <v>100</v>
      </c>
      <c r="P140" s="870">
        <f t="shared" ca="1" si="71"/>
        <v>100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30</v>
      </c>
      <c r="J143" s="863">
        <f ca="1">IF(AND(J144&gt;=I144,J145&gt;=I145),J145,0)</f>
        <v>30</v>
      </c>
      <c r="K143" s="864">
        <f t="shared" ref="K143:K146" ca="1" si="75">IF(I143&gt;0,J143*100/I143,0)</f>
        <v>100</v>
      </c>
      <c r="L143" s="864"/>
      <c r="M143" s="864"/>
      <c r="N143" s="864"/>
      <c r="O143" s="864"/>
      <c r="P143" s="864"/>
    </row>
    <row r="144" spans="1:26" ht="19.5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IFERROR(__xludf.DUMMYFUNCTION("IMPORTRANGE(""https://docs.google.com/spreadsheets/d/1QqKyyYR6Q21VydFLVH3TRQUabQu_ym0Zz7PgGX0-kHA/edit?usp=sharing"",""แผน!U47"")"),15)</f>
        <v>15</v>
      </c>
      <c r="J144" s="992">
        <v>15</v>
      </c>
      <c r="K144" s="864">
        <f t="shared" ca="1" si="75"/>
        <v>100</v>
      </c>
      <c r="L144" s="864"/>
      <c r="M144" s="864"/>
      <c r="N144" s="864"/>
      <c r="O144" s="864"/>
      <c r="P144" s="864"/>
    </row>
    <row r="145" spans="1:26" ht="19.5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IFERROR(__xludf.DUMMYFUNCTION("IMPORTRANGE(""https://docs.google.com/spreadsheets/d/1QqKyyYR6Q21VydFLVH3TRQUabQu_ym0Zz7PgGX0-kHA/edit?usp=sharing"",""แผน!V47"")"),30)</f>
        <v>30</v>
      </c>
      <c r="J145" s="992">
        <v>30</v>
      </c>
      <c r="K145" s="864">
        <f t="shared" ca="1" si="75"/>
        <v>100</v>
      </c>
      <c r="L145" s="864"/>
      <c r="M145" s="864"/>
      <c r="N145" s="864"/>
      <c r="O145" s="864"/>
      <c r="P145" s="864"/>
    </row>
    <row r="146" spans="1:26" ht="19.5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IFERROR(__xludf.DUMMYFUNCTION("IMPORTRANGE(""https://docs.google.com/spreadsheets/d/1QqKyyYR6Q21VydFLVH3TRQUabQu_ym0Zz7PgGX0-kHA/edit?usp=sharing"",""แผน!W47"")"),3)</f>
        <v>3</v>
      </c>
      <c r="J146" s="992">
        <v>3</v>
      </c>
      <c r="K146" s="864">
        <f t="shared" ca="1" si="75"/>
        <v>100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IFERROR(__xludf.DUMMYFUNCTION("IMPORTRANGE(""https://docs.google.com/spreadsheets/d/1MeEWN-I1oV_STSDYn1IFDPWt_1FKiwhDph83XaGc0o0/edit?usp=sharing"",""งบพรบ!BU47"")"),0)</f>
        <v>0</v>
      </c>
      <c r="M154" s="870">
        <f ca="1">IFERROR(__xludf.DUMMYFUNCTION("IMPORTRANGE(""https://docs.google.com/spreadsheets/d/1MeEWN-I1oV_STSDYn1IFDPWt_1FKiwhDph83XaGc0o0/edit?usp=sharing"",""งบพรบ!BZ47"")"),0)</f>
        <v>0</v>
      </c>
      <c r="N154" s="870">
        <f ca="1">IFERROR(__xludf.DUMMYFUNCTION("IMPORTRANGE(""https://docs.google.com/spreadsheets/d/1MeEWN-I1oV_STSDYn1IFDPWt_1FKiwhDph83XaGc0o0/edit?usp=sharing"",""งบพรบ!CB47"")"),0)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IFERROR(__xludf.DUMMYFUNCTION("IMPORTRANGE(""https://docs.google.com/spreadsheets/d/1MeEWN-I1oV_STSDYn1IFDPWt_1FKiwhDph83XaGc0o0/edit?usp=sharing"",""งบพรบ!BX47"")"),0)</f>
        <v>0</v>
      </c>
      <c r="M157" s="870">
        <f ca="1">IFERROR(__xludf.DUMMYFUNCTION("IMPORTRANGE(""https://docs.google.com/spreadsheets/d/1MeEWN-I1oV_STSDYn1IFDPWt_1FKiwhDph83XaGc0o0/edit?usp=sharing"",""งบพรบ!CA47"")"),0)</f>
        <v>0</v>
      </c>
      <c r="N157" s="870">
        <f ca="1">IFERROR(__xludf.DUMMYFUNCTION("IMPORTRANGE(""https://docs.google.com/spreadsheets/d/1MeEWN-I1oV_STSDYn1IFDPWt_1FKiwhDph83XaGc0o0/edit?usp=sharing"",""งบพรบ!CC47"")"),0)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IFERROR(__xludf.DUMMYFUNCTION("IMPORTRANGE(""https://docs.google.com/spreadsheets/d/1QqKyyYR6Q21VydFLVH3TRQUabQu_ym0Zz7PgGX0-kHA/edit?usp=sharing"",""แผน!X47"")"),0)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 hidden="1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475">
        <f t="shared" ref="I164:J164" ca="1" si="83">I174+I177</f>
        <v>0</v>
      </c>
      <c r="J164" s="1475">
        <f t="shared" si="83"/>
        <v>0</v>
      </c>
      <c r="K164" s="1043">
        <f ca="1">IF(I164&gt;0,J164*100/I164,0)</f>
        <v>0</v>
      </c>
      <c r="L164" s="1043"/>
      <c r="M164" s="1043"/>
      <c r="N164" s="1043"/>
      <c r="O164" s="1043"/>
      <c r="P164" s="1043"/>
    </row>
    <row r="165" spans="1:26" ht="19.5" hidden="1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1">
        <f t="shared" ref="L165:N165" ca="1" si="84">L166+L167</f>
        <v>0</v>
      </c>
      <c r="M165" s="971">
        <f t="shared" ca="1" si="84"/>
        <v>0</v>
      </c>
      <c r="N165" s="971">
        <f t="shared" ca="1" si="84"/>
        <v>0</v>
      </c>
      <c r="O165" s="971">
        <f t="shared" ref="O165:O173" ca="1" si="85">IF(L165&gt;0,N165*100/L165,0)</f>
        <v>0</v>
      </c>
      <c r="P165" s="971">
        <f t="shared" ref="P165:P173" ca="1" si="86">IF(M165&gt;0,N165*100/M165,0)</f>
        <v>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0</v>
      </c>
      <c r="M167" s="870">
        <f t="shared" ca="1" si="87"/>
        <v>0</v>
      </c>
      <c r="N167" s="870">
        <f t="shared" ca="1" si="87"/>
        <v>0</v>
      </c>
      <c r="O167" s="870">
        <f t="shared" ca="1" si="85"/>
        <v>0</v>
      </c>
      <c r="P167" s="870">
        <f t="shared" ca="1" si="86"/>
        <v>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 hidden="1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0</v>
      </c>
      <c r="M168" s="864">
        <f t="shared" ca="1" si="88"/>
        <v>0</v>
      </c>
      <c r="N168" s="864">
        <f t="shared" ca="1" si="88"/>
        <v>0</v>
      </c>
      <c r="O168" s="864">
        <f t="shared" ca="1" si="85"/>
        <v>0</v>
      </c>
      <c r="P168" s="864">
        <f t="shared" ca="1" si="86"/>
        <v>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IFERROR(__xludf.DUMMYFUNCTION("IMPORTRANGE(""https://docs.google.com/spreadsheets/d/1MeEWN-I1oV_STSDYn1IFDPWt_1FKiwhDph83XaGc0o0/edit?usp=sharing"",""งบพรบ!CE47"")"),0)</f>
        <v>0</v>
      </c>
      <c r="M170" s="870">
        <f ca="1">IFERROR(__xludf.DUMMYFUNCTION("IMPORTRANGE(""https://docs.google.com/spreadsheets/d/1MeEWN-I1oV_STSDYn1IFDPWt_1FKiwhDph83XaGc0o0/edit?usp=sharing"",""งบพรบ!CJ47"")"),0)</f>
        <v>0</v>
      </c>
      <c r="N170" s="870">
        <f ca="1">IFERROR(__xludf.DUMMYFUNCTION("IMPORTRANGE(""https://docs.google.com/spreadsheets/d/1MeEWN-I1oV_STSDYn1IFDPWt_1FKiwhDph83XaGc0o0/edit?usp=sharing"",""งบพรบ!CL47"")"),0)</f>
        <v>0</v>
      </c>
      <c r="O170" s="870">
        <f t="shared" ca="1" si="85"/>
        <v>0</v>
      </c>
      <c r="P170" s="870">
        <f t="shared" ca="1" si="86"/>
        <v>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 hidden="1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IFERROR(__xludf.DUMMYFUNCTION("IMPORTRANGE(""https://docs.google.com/spreadsheets/d/1MeEWN-I1oV_STSDYn1IFDPWt_1FKiwhDph83XaGc0o0/edit?usp=sharing"",""งบพรบ!CH47"")"),0)</f>
        <v>0</v>
      </c>
      <c r="M173" s="870">
        <f ca="1">IFERROR(__xludf.DUMMYFUNCTION("IMPORTRANGE(""https://docs.google.com/spreadsheets/d/1MeEWN-I1oV_STSDYn1IFDPWt_1FKiwhDph83XaGc0o0/edit?usp=sharing"",""งบพรบ!CK47"")"),0)</f>
        <v>0</v>
      </c>
      <c r="N173" s="870">
        <f ca="1">IFERROR(__xludf.DUMMYFUNCTION("IMPORTRANGE(""https://docs.google.com/spreadsheets/d/1MeEWN-I1oV_STSDYn1IFDPWt_1FKiwhDph83XaGc0o0/edit?usp=sharing"",""งบพรบ!CM47"")"),0)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 hidden="1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0</v>
      </c>
      <c r="J174" s="1048">
        <f t="shared" si="90"/>
        <v>0</v>
      </c>
      <c r="K174" s="1049">
        <f ca="1">IF(I174&gt;0,J174*100/I174,0)</f>
        <v>0</v>
      </c>
      <c r="L174" s="1049"/>
      <c r="M174" s="1049"/>
      <c r="N174" s="1049"/>
      <c r="O174" s="1049"/>
      <c r="P174" s="1049"/>
    </row>
    <row r="175" spans="1:26" ht="19.5" hidden="1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 hidden="1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IFERROR(__xludf.DUMMYFUNCTION("IMPORTRANGE(""https://docs.google.com/spreadsheets/d/1QqKyyYR6Q21VydFLVH3TRQUabQu_ym0Zz7PgGX0-kHA/edit?usp=sharing"",""แผน!Y47"")"),0)</f>
        <v>0</v>
      </c>
      <c r="J176" s="992">
        <v>0</v>
      </c>
      <c r="K176" s="978">
        <f ca="1">IF(I176&gt;0,J176*100/I176,0)</f>
        <v>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77500</v>
      </c>
      <c r="M181" s="972">
        <f t="shared" ca="1" si="92"/>
        <v>67500</v>
      </c>
      <c r="N181" s="972">
        <f t="shared" ca="1" si="92"/>
        <v>45100</v>
      </c>
      <c r="O181" s="972">
        <f t="shared" ref="O181:O189" ca="1" si="93">IF(L181&gt;0,N181*100/L181,0)</f>
        <v>58.193548387096776</v>
      </c>
      <c r="P181" s="972">
        <f t="shared" ref="P181:P189" ca="1" si="94">IF(M181&gt;0,N181*100/M181,0)</f>
        <v>66.81481481481481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77500</v>
      </c>
      <c r="M183" s="870">
        <f t="shared" ca="1" si="95"/>
        <v>67500</v>
      </c>
      <c r="N183" s="870">
        <f t="shared" ca="1" si="95"/>
        <v>45100</v>
      </c>
      <c r="O183" s="870">
        <f t="shared" ca="1" si="93"/>
        <v>58.193548387096776</v>
      </c>
      <c r="P183" s="870">
        <f t="shared" ca="1" si="94"/>
        <v>66.81481481481481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77500</v>
      </c>
      <c r="M184" s="864">
        <f t="shared" ca="1" si="96"/>
        <v>67500</v>
      </c>
      <c r="N184" s="864">
        <f t="shared" ca="1" si="96"/>
        <v>45100</v>
      </c>
      <c r="O184" s="864">
        <f t="shared" ca="1" si="93"/>
        <v>58.193548387096776</v>
      </c>
      <c r="P184" s="864">
        <f t="shared" ca="1" si="94"/>
        <v>66.81481481481481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IFERROR(__xludf.DUMMYFUNCTION("IMPORTRANGE(""https://docs.google.com/spreadsheets/d/1MeEWN-I1oV_STSDYn1IFDPWt_1FKiwhDph83XaGc0o0/edit?usp=sharing"",""งบพรบ!CO47"")"),77500)</f>
        <v>77500</v>
      </c>
      <c r="M186" s="870">
        <f ca="1">IFERROR(__xludf.DUMMYFUNCTION("IMPORTRANGE(""https://docs.google.com/spreadsheets/d/1MeEWN-I1oV_STSDYn1IFDPWt_1FKiwhDph83XaGc0o0/edit?usp=sharing"",""งบพรบ!CT47"")"),67500)</f>
        <v>67500</v>
      </c>
      <c r="N186" s="870">
        <f ca="1">IFERROR(__xludf.DUMMYFUNCTION("IMPORTRANGE(""https://docs.google.com/spreadsheets/d/1MeEWN-I1oV_STSDYn1IFDPWt_1FKiwhDph83XaGc0o0/edit?usp=sharing"",""งบพรบ!CV47"")"),45100)</f>
        <v>45100</v>
      </c>
      <c r="O186" s="870">
        <f t="shared" ca="1" si="93"/>
        <v>58.193548387096776</v>
      </c>
      <c r="P186" s="870">
        <f t="shared" ca="1" si="94"/>
        <v>66.81481481481481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IFERROR(__xludf.DUMMYFUNCTION("IMPORTRANGE(""https://docs.google.com/spreadsheets/d/1MeEWN-I1oV_STSDYn1IFDPWt_1FKiwhDph83XaGc0o0/edit?usp=sharing"",""งบพรบ!CR47"")"),0)</f>
        <v>0</v>
      </c>
      <c r="M189" s="870">
        <f ca="1">IFERROR(__xludf.DUMMYFUNCTION("IMPORTRANGE(""https://docs.google.com/spreadsheets/d/1MeEWN-I1oV_STSDYn1IFDPWt_1FKiwhDph83XaGc0o0/edit?usp=sharing"",""งบพรบ!CU47"")"),0)</f>
        <v>0</v>
      </c>
      <c r="N189" s="870">
        <f ca="1">IFERROR(__xludf.DUMMYFUNCTION("IMPORTRANGE(""https://docs.google.com/spreadsheets/d/1MeEWN-I1oV_STSDYn1IFDPWt_1FKiwhDph83XaGc0o0/edit?usp=sharing"",""งบพรบ!CW47"")"),0)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IFERROR(__xludf.DUMMYFUNCTION("IMPORTRANGE(""https://docs.google.com/spreadsheets/d/1QqKyyYR6Q21VydFLVH3TRQUabQu_ym0Zz7PgGX0-kHA/edit?usp=sharing"",""แผน!Z47"")"),6000)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IFERROR(__xludf.DUMMYFUNCTION("IMPORTRANGE(""https://docs.google.com/spreadsheets/d/1QqKyyYR6Q21VydFLVH3TRQUabQu_ym0Zz7PgGX0-kHA/edit?usp=sharing"",""แผน!AC47"")"),4)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44000</v>
      </c>
      <c r="M198" s="972"/>
      <c r="N198" s="972">
        <f>N199+N200+N201+N202</f>
        <v>36630</v>
      </c>
      <c r="O198" s="972">
        <f ca="1">IF(L198&gt;0,N198*100/L198,0)</f>
        <v>83.25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IFERROR(__xludf.DUMMYFUNCTION("IMPORTRANGE(""https://docs.google.com/spreadsheets/d/1QqKyyYR6Q21VydFLVH3TRQUabQu_ym0Zz7PgGX0-kHA/edit?usp=sharing"",""แผน!AE47"")"),3000)</f>
        <v>3000</v>
      </c>
      <c r="M199" s="864"/>
      <c r="N199" s="1064">
        <v>1560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IFERROR(__xludf.DUMMYFUNCTION("IMPORTRANGE(""https://docs.google.com/spreadsheets/d/1QqKyyYR6Q21VydFLVH3TRQUabQu_ym0Zz7PgGX0-kHA/edit?usp=sharing"",""แผน!AF47"")"),24000)</f>
        <v>24000</v>
      </c>
      <c r="M200" s="864"/>
      <c r="N200" s="1064">
        <v>35070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IFERROR(__xludf.DUMMYFUNCTION("IMPORTRANGE(""https://docs.google.com/spreadsheets/d/1QqKyyYR6Q21VydFLVH3TRQUabQu_ym0Zz7PgGX0-kHA/edit?usp=sharing"",""แผน!AG47"")"),12000)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IFERROR(__xludf.DUMMYFUNCTION("IMPORTRANGE(""https://docs.google.com/spreadsheets/d/1QqKyyYR6Q21VydFLVH3TRQUabQu_ym0Zz7PgGX0-kHA/edit?usp=sharing"",""แผน!AH47"")"),5000)</f>
        <v>5000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IFERROR(__xludf.DUMMYFUNCTION("IMPORTRANGE(""https://docs.google.com/spreadsheets/d/1QqKyyYR6Q21VydFLVH3TRQUabQu_ym0Zz7PgGX0-kHA/edit?usp=sharing"",""แผน!AI47"")"),3)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1</v>
      </c>
      <c r="J207" s="992">
        <v>1</v>
      </c>
      <c r="K207" s="978">
        <f t="shared" si="100"/>
        <v>100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1</v>
      </c>
      <c r="J208" s="1057">
        <f t="shared" si="101"/>
        <v>1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14000</v>
      </c>
      <c r="M209" s="972"/>
      <c r="N209" s="972">
        <f>N210+N211+N212</f>
        <v>8470</v>
      </c>
      <c r="O209" s="972">
        <f ca="1">IF(L209&gt;0,N209*100/L209,0)</f>
        <v>60.5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IFERROR(__xludf.DUMMYFUNCTION("IMPORTRANGE(""https://docs.google.com/spreadsheets/d/1QqKyyYR6Q21VydFLVH3TRQUabQu_ym0Zz7PgGX0-kHA/edit?usp=sharing"",""แผน!AK47"")"),1000)</f>
        <v>1000</v>
      </c>
      <c r="M210" s="864"/>
      <c r="N210" s="1064">
        <v>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IFERROR(__xludf.DUMMYFUNCTION("IMPORTRANGE(""https://docs.google.com/spreadsheets/d/1QqKyyYR6Q21VydFLVH3TRQUabQu_ym0Zz7PgGX0-kHA/edit?usp=sharing"",""แผน!AL47"")"),5000)</f>
        <v>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IFERROR(__xludf.DUMMYFUNCTION("IMPORTRANGE(""https://docs.google.com/spreadsheets/d/1QqKyyYR6Q21VydFLVH3TRQUabQu_ym0Zz7PgGX0-kHA/edit?usp=sharing"",""แผน!AM47"")"),8000)</f>
        <v>8000</v>
      </c>
      <c r="M212" s="864"/>
      <c r="N212" s="1064">
        <v>8470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IFERROR(__xludf.DUMMYFUNCTION("IMPORTRANGE(""https://docs.google.com/spreadsheets/d/1QqKyyYR6Q21VydFLVH3TRQUabQu_ym0Zz7PgGX0-kHA/edit?usp=sharing"",""แผน!AN47"")"),1)</f>
        <v>1</v>
      </c>
      <c r="J214" s="992">
        <v>1</v>
      </c>
      <c r="K214" s="864">
        <f t="shared" ref="K214:K216" ca="1" si="102">IF(I214&gt;0,J214*100/I214,0)</f>
        <v>100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IFERROR(__xludf.DUMMYFUNCTION("IMPORTRANGE(""https://docs.google.com/spreadsheets/d/1QqKyyYR6Q21VydFLVH3TRQUabQu_ym0Zz7PgGX0-kHA/edit?usp=sharing"",""แผน!AN47"")"),1)</f>
        <v>1</v>
      </c>
      <c r="J215" s="992">
        <v>1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30000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13500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IFERROR(__xludf.DUMMYFUNCTION("IMPORTRANGE(""https://docs.google.com/spreadsheets/d/1QqKyyYR6Q21VydFLVH3TRQUabQu_ym0Zz7PgGX0-kHA/edit?usp=sharing"",""แผน!AP47"")"),5000)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IFERROR(__xludf.DUMMYFUNCTION("IMPORTRANGE(""https://docs.google.com/spreadsheets/d/1QqKyyYR6Q21VydFLVH3TRQUabQu_ym0Zz7PgGX0-kHA/edit?usp=sharing"",""แผน!AQ47"")"),8500)</f>
        <v>8500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IFERROR(__xludf.DUMMYFUNCTION("IMPORTRANGE(""https://docs.google.com/spreadsheets/d/1QqKyyYR6Q21VydFLVH3TRQUabQu_ym0Zz7PgGX0-kHA/edit?usp=sharing"",""แผน!AR47"")"),0)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IFERROR(__xludf.DUMMYFUNCTION("IMPORTRANGE(""https://docs.google.com/spreadsheets/d/1QqKyyYR6Q21VydFLVH3TRQUabQu_ym0Zz7PgGX0-kHA/edit?usp=sharing"",""แผน!AT47"")"),30000)</f>
        <v>30000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IFERROR(__xludf.DUMMYFUNCTION("IMPORTRANGE(""https://docs.google.com/spreadsheets/d/1QqKyyYR6Q21VydFLVH3TRQUabQu_ym0Zz7PgGX0-kHA/edit?usp=sharing"",""แผน!AT47"")"),30000)</f>
        <v>30000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IFERROR(__xludf.DUMMYFUNCTION("IMPORTRANGE(""https://docs.google.com/spreadsheets/d/1QqKyyYR6Q21VydFLVH3TRQUabQu_ym0Zz7PgGX0-kHA/edit?usp=sharing"",""แผน!AS47"")"),0)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IFERROR(__xludf.DUMMYFUNCTION("IMPORTRANGE(""https://docs.google.com/spreadsheets/d/1QqKyyYR6Q21VydFLVH3TRQUabQu_ym0Zz7PgGX0-kHA/edit?usp=sharing"",""แผน!AV47"")"),0)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IFERROR(__xludf.DUMMYFUNCTION("IMPORTRANGE(""https://docs.google.com/spreadsheets/d/1QqKyyYR6Q21VydFLVH3TRQUabQu_ym0Zz7PgGX0-kHA/edit?usp=sharing"",""แผน!AW47"")"),0)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IFERROR(__xludf.DUMMYFUNCTION("IMPORTRANGE(""https://docs.google.com/spreadsheets/d/1QqKyyYR6Q21VydFLVH3TRQUabQu_ym0Zz7PgGX0-kHA/edit?usp=sharing"",""แผน!AX47"")"),0)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IFERROR(__xludf.DUMMYFUNCTION("IMPORTRANGE(""https://docs.google.com/spreadsheets/d/1QqKyyYR6Q21VydFLVH3TRQUabQu_ym0Zz7PgGX0-kHA/edit?usp=sharing"",""แผน!AY47"")"),0)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IFERROR(__xludf.DUMMYFUNCTION("IMPORTRANGE(""https://docs.google.com/spreadsheets/d/1QqKyyYR6Q21VydFLVH3TRQUabQu_ym0Zz7PgGX0-kHA/edit?usp=sharing"",""แผน!BE47"")"),0)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IFERROR(__xludf.DUMMYFUNCTION("IMPORTRANGE(""https://docs.google.com/spreadsheets/d/1QqKyyYR6Q21VydFLVH3TRQUabQu_ym0Zz7PgGX0-kHA/edit?usp=sharing"",""แผน!AZ47"")"),0)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IFERROR(__xludf.DUMMYFUNCTION("IMPORTRANGE(""https://docs.google.com/spreadsheets/d/1QqKyyYR6Q21VydFLVH3TRQUabQu_ym0Zz7PgGX0-kHA/edit?usp=sharing"",""แผน!BA47"")"),0)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IFERROR(__xludf.DUMMYFUNCTION("IMPORTRANGE(""https://docs.google.com/spreadsheets/d/1QqKyyYR6Q21VydFLVH3TRQUabQu_ym0Zz7PgGX0-kHA/edit?usp=sharing"",""แผน!BB47"")"),0)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IFERROR(__xludf.DUMMYFUNCTION("IMPORTRANGE(""https://docs.google.com/spreadsheets/d/1QqKyyYR6Q21VydFLVH3TRQUabQu_ym0Zz7PgGX0-kHA/edit?usp=sharing"",""แผน!BC47"")"),0)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IFERROR(__xludf.DUMMYFUNCTION("IMPORTRANGE(""https://docs.google.com/spreadsheets/d/1QqKyyYR6Q21VydFLVH3TRQUabQu_ym0Zz7PgGX0-kHA/edit?usp=sharing"",""แผน!BF47"")"),0)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23900</v>
      </c>
      <c r="O261" s="972">
        <f t="shared" ref="O261:O269" ca="1" si="117">IF(L261&gt;0,N261*100/L261,0)</f>
        <v>88.847583643122675</v>
      </c>
      <c r="P261" s="972">
        <f t="shared" ref="P261:P269" ca="1" si="118">IF(M261&gt;0,N261*100/M261,0)</f>
        <v>100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23900</v>
      </c>
      <c r="O263" s="870">
        <f t="shared" ca="1" si="117"/>
        <v>88.847583643122675</v>
      </c>
      <c r="P263" s="870">
        <f t="shared" ca="1" si="118"/>
        <v>100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23900</v>
      </c>
      <c r="O264" s="864">
        <f t="shared" ca="1" si="117"/>
        <v>88.847583643122675</v>
      </c>
      <c r="P264" s="864">
        <f t="shared" ca="1" si="118"/>
        <v>100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IFERROR(__xludf.DUMMYFUNCTION("IMPORTRANGE(""https://docs.google.com/spreadsheets/d/1MeEWN-I1oV_STSDYn1IFDPWt_1FKiwhDph83XaGc0o0/edit?usp=sharing"",""งบพรบ!CY47"")"),26900)</f>
        <v>26900</v>
      </c>
      <c r="M266" s="870">
        <f ca="1">IFERROR(__xludf.DUMMYFUNCTION("IMPORTRANGE(""https://docs.google.com/spreadsheets/d/1MeEWN-I1oV_STSDYn1IFDPWt_1FKiwhDph83XaGc0o0/edit?usp=sharing"",""งบพรบ!DD47"")"),23900)</f>
        <v>23900</v>
      </c>
      <c r="N266" s="870">
        <f ca="1">IFERROR(__xludf.DUMMYFUNCTION("IMPORTRANGE(""https://docs.google.com/spreadsheets/d/1MeEWN-I1oV_STSDYn1IFDPWt_1FKiwhDph83XaGc0o0/edit?usp=sharing"",""งบพรบ!DF47"")"),23900)</f>
        <v>23900</v>
      </c>
      <c r="O266" s="870">
        <f t="shared" ca="1" si="117"/>
        <v>88.847583643122675</v>
      </c>
      <c r="P266" s="870">
        <f t="shared" ca="1" si="118"/>
        <v>100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IFERROR(__xludf.DUMMYFUNCTION("IMPORTRANGE(""https://docs.google.com/spreadsheets/d/1MeEWN-I1oV_STSDYn1IFDPWt_1FKiwhDph83XaGc0o0/edit?usp=sharing"",""งบพรบ!DB47"")"),0)</f>
        <v>0</v>
      </c>
      <c r="M269" s="870">
        <f ca="1">IFERROR(__xludf.DUMMYFUNCTION("IMPORTRANGE(""https://docs.google.com/spreadsheets/d/1MeEWN-I1oV_STSDYn1IFDPWt_1FKiwhDph83XaGc0o0/edit?usp=sharing"",""งบพรบ!DE47"")"),0)</f>
        <v>0</v>
      </c>
      <c r="N269" s="870">
        <f ca="1">IFERROR(__xludf.DUMMYFUNCTION("IMPORTRANGE(""https://docs.google.com/spreadsheets/d/1MeEWN-I1oV_STSDYn1IFDPWt_1FKiwhDph83XaGc0o0/edit?usp=sharing"",""งบพรบ!DG47"")"),0)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IFERROR(__xludf.DUMMYFUNCTION("IMPORTRANGE(""https://docs.google.com/spreadsheets/d/1QqKyyYR6Q21VydFLVH3TRQUabQu_ym0Zz7PgGX0-kHA/edit?usp=sharing"",""แผน!EA47"")"),22)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5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50</v>
      </c>
      <c r="J276" s="1141">
        <f t="shared" si="124"/>
        <v>50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22630</v>
      </c>
      <c r="M277" s="972">
        <f t="shared" ca="1" si="125"/>
        <v>13100</v>
      </c>
      <c r="N277" s="972">
        <f t="shared" ca="1" si="125"/>
        <v>9775</v>
      </c>
      <c r="O277" s="972">
        <f t="shared" ref="O277:O285" ca="1" si="126">IF(L277&gt;0,N277*100/L277,0)</f>
        <v>43.194874060981</v>
      </c>
      <c r="P277" s="972">
        <f t="shared" ref="P277:P285" ca="1" si="127">IF(M277&gt;0,N277*100/M277,0)</f>
        <v>74.618320610687022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22630</v>
      </c>
      <c r="M279" s="870">
        <f t="shared" ca="1" si="128"/>
        <v>13100</v>
      </c>
      <c r="N279" s="870">
        <f t="shared" ca="1" si="128"/>
        <v>9775</v>
      </c>
      <c r="O279" s="870">
        <f t="shared" ca="1" si="126"/>
        <v>43.194874060981</v>
      </c>
      <c r="P279" s="870">
        <f t="shared" ca="1" si="127"/>
        <v>74.618320610687022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22630</v>
      </c>
      <c r="M280" s="864">
        <f t="shared" ca="1" si="129"/>
        <v>13100</v>
      </c>
      <c r="N280" s="864">
        <f t="shared" ca="1" si="129"/>
        <v>9775</v>
      </c>
      <c r="O280" s="864">
        <f t="shared" ca="1" si="126"/>
        <v>43.194874060981</v>
      </c>
      <c r="P280" s="864">
        <f t="shared" ca="1" si="127"/>
        <v>74.618320610687022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IFERROR(__xludf.DUMMYFUNCTION("IMPORTRANGE(""https://docs.google.com/spreadsheets/d/1MeEWN-I1oV_STSDYn1IFDPWt_1FKiwhDph83XaGc0o0/edit?usp=sharing"",""งบพรบ!DI47"")"),22630)</f>
        <v>22630</v>
      </c>
      <c r="M282" s="870">
        <f ca="1">IFERROR(__xludf.DUMMYFUNCTION("IMPORTRANGE(""https://docs.google.com/spreadsheets/d/1MeEWN-I1oV_STSDYn1IFDPWt_1FKiwhDph83XaGc0o0/edit?usp=sharing"",""งบพรบ!DN47"")"),13100)</f>
        <v>13100</v>
      </c>
      <c r="N282" s="870">
        <f ca="1">IFERROR(__xludf.DUMMYFUNCTION("IMPORTRANGE(""https://docs.google.com/spreadsheets/d/1MeEWN-I1oV_STSDYn1IFDPWt_1FKiwhDph83XaGc0o0/edit?usp=sharing"",""งบพรบ!DP47"")"),9775)</f>
        <v>9775</v>
      </c>
      <c r="O282" s="870">
        <f t="shared" ca="1" si="126"/>
        <v>43.194874060981</v>
      </c>
      <c r="P282" s="870">
        <f t="shared" ca="1" si="127"/>
        <v>74.618320610687022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IFERROR(__xludf.DUMMYFUNCTION("IMPORTRANGE(""https://docs.google.com/spreadsheets/d/1MeEWN-I1oV_STSDYn1IFDPWt_1FKiwhDph83XaGc0o0/edit?usp=sharing"",""งบพรบ!DL47"")"),0)</f>
        <v>0</v>
      </c>
      <c r="M285" s="870">
        <f ca="1">IFERROR(__xludf.DUMMYFUNCTION("IMPORTRANGE(""https://docs.google.com/spreadsheets/d/1MeEWN-I1oV_STSDYn1IFDPWt_1FKiwhDph83XaGc0o0/edit?usp=sharing"",""งบพรบ!DO47"")"),0)</f>
        <v>0</v>
      </c>
      <c r="N285" s="870">
        <f ca="1">IFERROR(__xludf.DUMMYFUNCTION("IMPORTRANGE(""https://docs.google.com/spreadsheets/d/1MeEWN-I1oV_STSDYn1IFDPWt_1FKiwhDph83XaGc0o0/edit?usp=sharing"",""งบพรบ!DQ47"")"),0)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IFERROR(__xludf.DUMMYFUNCTION("IMPORTRANGE(""https://docs.google.com/spreadsheets/d/1QqKyyYR6Q21VydFLVH3TRQUabQu_ym0Zz7PgGX0-kHA/edit?usp=sharing"",""แผน!EC47"")"),50)</f>
        <v>50</v>
      </c>
      <c r="J287" s="992">
        <v>50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IFERROR(__xludf.DUMMYFUNCTION("IMPORTRANGE(""https://docs.google.com/spreadsheets/d/1QqKyyYR6Q21VydFLVH3TRQUabQu_ym0Zz7PgGX0-kHA/edit?usp=sharing"",""แผน!EB47"")"),5)</f>
        <v>5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IFERROR(__xludf.DUMMYFUNCTION("IMPORTRANGE(""https://docs.google.com/spreadsheets/d/1QqKyyYR6Q21VydFLVH3TRQUabQu_ym0Zz7PgGX0-kHA/edit?usp=sharing"",""แผน!EB47"")"),5)</f>
        <v>5</v>
      </c>
      <c r="J290" s="992">
        <v>5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IFERROR(__xludf.DUMMYFUNCTION("IMPORTRANGE(""https://docs.google.com/spreadsheets/d/1QqKyyYR6Q21VydFLVH3TRQUabQu_ym0Zz7PgGX0-kHA/edit?usp=sharing"",""แผน!EB47"")"),5)</f>
        <v>5</v>
      </c>
      <c r="J291" s="992">
        <v>5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IFERROR(__xludf.DUMMYFUNCTION("IMPORTRANGE(""https://docs.google.com/spreadsheets/d/1QqKyyYR6Q21VydFLVH3TRQUabQu_ym0Zz7PgGX0-kHA/edit?usp=sharing"",""แผน!EB47"")"),5)</f>
        <v>5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IFERROR(__xludf.DUMMYFUNCTION("IMPORTRANGE(""https://docs.google.com/spreadsheets/d/1QqKyyYR6Q21VydFLVH3TRQUabQu_ym0Zz7PgGX0-kHA/edit?usp=sharing"",""แผน!EB47"")"),5)</f>
        <v>5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IFERROR(__xludf.DUMMYFUNCTION("IMPORTRANGE(""https://docs.google.com/spreadsheets/d/1MeEWN-I1oV_STSDYn1IFDPWt_1FKiwhDph83XaGc0o0/edit?usp=sharing"",""งบพรบ!DS47"")"),0)</f>
        <v>0</v>
      </c>
      <c r="M303" s="870">
        <f ca="1">IFERROR(__xludf.DUMMYFUNCTION("IMPORTRANGE(""https://docs.google.com/spreadsheets/d/1MeEWN-I1oV_STSDYn1IFDPWt_1FKiwhDph83XaGc0o0/edit?usp=sharing"",""งบพรบ!DX47"")"),0)</f>
        <v>0</v>
      </c>
      <c r="N303" s="870">
        <f ca="1">IFERROR(__xludf.DUMMYFUNCTION("IMPORTRANGE(""https://docs.google.com/spreadsheets/d/1MeEWN-I1oV_STSDYn1IFDPWt_1FKiwhDph83XaGc0o0/edit?usp=sharing"",""งบพรบ!DZ47"")"),0)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IFERROR(__xludf.DUMMYFUNCTION("IMPORTRANGE(""https://docs.google.com/spreadsheets/d/1MeEWN-I1oV_STSDYn1IFDPWt_1FKiwhDph83XaGc0o0/edit?usp=sharing"",""งบพรบ!DV47"")"),0)</f>
        <v>0</v>
      </c>
      <c r="M306" s="870">
        <f ca="1">IFERROR(__xludf.DUMMYFUNCTION("IMPORTRANGE(""https://docs.google.com/spreadsheets/d/1MeEWN-I1oV_STSDYn1IFDPWt_1FKiwhDph83XaGc0o0/edit?usp=sharing"",""งบพรบ!DY47"")"),0)</f>
        <v>0</v>
      </c>
      <c r="N306" s="870">
        <f ca="1">IFERROR(__xludf.DUMMYFUNCTION("IMPORTRANGE(""https://docs.google.com/spreadsheets/d/1MeEWN-I1oV_STSDYn1IFDPWt_1FKiwhDph83XaGc0o0/edit?usp=sharing"",""งบพรบ!EA47"")"),0)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IFERROR(__xludf.DUMMYFUNCTION("IMPORTRANGE(""https://docs.google.com/spreadsheets/d/1QqKyyYR6Q21VydFLVH3TRQUabQu_ym0Zz7PgGX0-kHA/edit?usp=sharing"",""แผน!ED47"")"),0)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IFERROR(__xludf.DUMMYFUNCTION("IMPORTRANGE(""https://docs.google.com/spreadsheets/d/1QqKyyYR6Q21VydFLVH3TRQUabQu_ym0Zz7PgGX0-kHA/edit?usp=sharing"",""แผน!ED47"")"),0)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IFERROR(__xludf.DUMMYFUNCTION("IMPORTRANGE(""https://docs.google.com/spreadsheets/d/1QqKyyYR6Q21VydFLVH3TRQUabQu_ym0Zz7PgGX0-kHA/edit?usp=sharing"",""แผน!ED47"")"),0)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IFERROR(__xludf.DUMMYFUNCTION("IMPORTRANGE(""https://docs.google.com/spreadsheets/d/1QqKyyYR6Q21VydFLVH3TRQUabQu_ym0Zz7PgGX0-kHA/edit?usp=sharing"",""แผน!EE47"")"),0)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IFERROR(__xludf.DUMMYFUNCTION("IMPORTRANGE(""https://docs.google.com/spreadsheets/d/1MeEWN-I1oV_STSDYn1IFDPWt_1FKiwhDph83XaGc0o0/edit?usp=sharing"",""งบพรบ!EC47"")"),0)</f>
        <v>0</v>
      </c>
      <c r="M320" s="870">
        <f ca="1">IFERROR(__xludf.DUMMYFUNCTION("IMPORTRANGE(""https://docs.google.com/spreadsheets/d/1MeEWN-I1oV_STSDYn1IFDPWt_1FKiwhDph83XaGc0o0/edit?usp=sharing"",""งบพรบ!EH47"")"),0)</f>
        <v>0</v>
      </c>
      <c r="N320" s="870">
        <f ca="1">IFERROR(__xludf.DUMMYFUNCTION("IMPORTRANGE(""https://docs.google.com/spreadsheets/d/1MeEWN-I1oV_STSDYn1IFDPWt_1FKiwhDph83XaGc0o0/edit?usp=sharing"",""งบพรบ!EJ47"")"),0)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IFERROR(__xludf.DUMMYFUNCTION("IMPORTRANGE(""https://docs.google.com/spreadsheets/d/1MeEWN-I1oV_STSDYn1IFDPWt_1FKiwhDph83XaGc0o0/edit?usp=sharing"",""งบพรบ!EF47"")"),0)</f>
        <v>0</v>
      </c>
      <c r="M323" s="870">
        <f ca="1">IFERROR(__xludf.DUMMYFUNCTION("IMPORTRANGE(""https://docs.google.com/spreadsheets/d/1MeEWN-I1oV_STSDYn1IFDPWt_1FKiwhDph83XaGc0o0/edit?usp=sharing"",""งบพรบ!EI47"")"),0)</f>
        <v>0</v>
      </c>
      <c r="N323" s="870">
        <f ca="1">IFERROR(__xludf.DUMMYFUNCTION("IMPORTRANGE(""https://docs.google.com/spreadsheets/d/1MeEWN-I1oV_STSDYn1IFDPWt_1FKiwhDph83XaGc0o0/edit?usp=sharing"",""งบพรบ!EK47"")"),0)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IFERROR(__xludf.DUMMYFUNCTION("IMPORTRANGE(""https://docs.google.com/spreadsheets/d/1QqKyyYR6Q21VydFLVH3TRQUabQu_ym0Zz7PgGX0-kHA/edit?usp=sharing"",""แผน!EF47"")"),0)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IFERROR(__xludf.DUMMYFUNCTION("IMPORTRANGE(""https://docs.google.com/spreadsheets/d/1QqKyyYR6Q21VydFLVH3TRQUabQu_ym0Zz7PgGX0-kHA/edit?usp=sharing"",""แผน!EG47"")"),3800)</f>
        <v>3800</v>
      </c>
      <c r="J327" s="1170">
        <f ca="1">J338+J341+J342+J343</f>
        <v>3133</v>
      </c>
      <c r="K327" s="1171">
        <f ca="1">IF(I327&gt;0,J327*100/I327,0)</f>
        <v>82.44736842105263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177000</v>
      </c>
      <c r="M328" s="972">
        <f t="shared" ca="1" si="149"/>
        <v>135250</v>
      </c>
      <c r="N328" s="972">
        <f t="shared" ca="1" si="149"/>
        <v>79945</v>
      </c>
      <c r="O328" s="972">
        <f t="shared" ref="O328:O336" ca="1" si="150">IF(L328&gt;0,N328*100/L328,0)</f>
        <v>45.166666666666664</v>
      </c>
      <c r="P328" s="972">
        <f t="shared" ref="P328:P336" ca="1" si="151">IF(M328&gt;0,N328*100/M328,0)</f>
        <v>59.109057301293902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177000</v>
      </c>
      <c r="M330" s="870">
        <f t="shared" ca="1" si="152"/>
        <v>135250</v>
      </c>
      <c r="N330" s="870">
        <f t="shared" ca="1" si="152"/>
        <v>79945</v>
      </c>
      <c r="O330" s="870">
        <f t="shared" ca="1" si="150"/>
        <v>45.166666666666664</v>
      </c>
      <c r="P330" s="870">
        <f t="shared" ca="1" si="151"/>
        <v>59.109057301293902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177000</v>
      </c>
      <c r="M331" s="864">
        <f t="shared" ca="1" si="153"/>
        <v>135250</v>
      </c>
      <c r="N331" s="864">
        <f t="shared" ca="1" si="153"/>
        <v>79945</v>
      </c>
      <c r="O331" s="864">
        <f t="shared" ca="1" si="150"/>
        <v>45.166666666666664</v>
      </c>
      <c r="P331" s="864">
        <f t="shared" ca="1" si="151"/>
        <v>59.109057301293902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IFERROR(__xludf.DUMMYFUNCTION("IMPORTRANGE(""https://docs.google.com/spreadsheets/d/1MeEWN-I1oV_STSDYn1IFDPWt_1FKiwhDph83XaGc0o0/edit?usp=sharing"",""งบพรบ!EM47"")"),177000)</f>
        <v>177000</v>
      </c>
      <c r="M333" s="870">
        <f ca="1">IFERROR(__xludf.DUMMYFUNCTION("IMPORTRANGE(""https://docs.google.com/spreadsheets/d/1MeEWN-I1oV_STSDYn1IFDPWt_1FKiwhDph83XaGc0o0/edit?usp=sharing"",""งบพรบ!ER47"")"),135250)</f>
        <v>135250</v>
      </c>
      <c r="N333" s="870">
        <f ca="1">IFERROR(__xludf.DUMMYFUNCTION("IMPORTRANGE(""https://docs.google.com/spreadsheets/d/1MeEWN-I1oV_STSDYn1IFDPWt_1FKiwhDph83XaGc0o0/edit?usp=sharing"",""งบพรบ!ET47"")"),79945)</f>
        <v>79945</v>
      </c>
      <c r="O333" s="870">
        <f t="shared" ca="1" si="150"/>
        <v>45.166666666666664</v>
      </c>
      <c r="P333" s="870">
        <f t="shared" ca="1" si="151"/>
        <v>59.109057301293902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IFERROR(__xludf.DUMMYFUNCTION("IMPORTRANGE(""https://docs.google.com/spreadsheets/d/1MeEWN-I1oV_STSDYn1IFDPWt_1FKiwhDph83XaGc0o0/edit?usp=sharing"",""งบพรบ!EP47"")"),0)</f>
        <v>0</v>
      </c>
      <c r="M336" s="870">
        <f ca="1">IFERROR(__xludf.DUMMYFUNCTION("IMPORTRANGE(""https://docs.google.com/spreadsheets/d/1MeEWN-I1oV_STSDYn1IFDPWt_1FKiwhDph83XaGc0o0/edit?usp=sharing"",""งบพรบ!ES47"")"),0)</f>
        <v>0</v>
      </c>
      <c r="N336" s="870">
        <f ca="1">IFERROR(__xludf.DUMMYFUNCTION("IMPORTRANGE(""https://docs.google.com/spreadsheets/d/1MeEWN-I1oV_STSDYn1IFDPWt_1FKiwhDph83XaGc0o0/edit?usp=sharing"",""งบพรบ!EU47"")"),0)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IFERROR(__xludf.DUMMYFUNCTION("IMPORTRANGE(""https://docs.google.com/spreadsheets/d/1QqKyyYR6Q21VydFLVH3TRQUabQu_ym0Zz7PgGX0-kHA/edit?usp=sharing"",""แผน!EG47"")"),3800)</f>
        <v>3800</v>
      </c>
      <c r="J338" s="863">
        <f ca="1">IFERROR(__xludf.DUMMYFUNCTION("IMPORTRANGE(""https://docs.google.com/spreadsheets/d/1kVcqe37tkHyjCSG3S0O1AXqVkqjo8mSIZil3BcpIysc/edit?usp=sharing"",""ศูนย์!D47"")"),2303)</f>
        <v>2303</v>
      </c>
      <c r="K338" s="864">
        <f ca="1">IF(I338&gt;0,J338*100/I338,0)</f>
        <v>60.60526315789474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IFERROR(__xludf.DUMMYFUNCTION("IMPORTRANGE(""https://docs.google.com/spreadsheets/d/1QqKyyYR6Q21VydFLVH3TRQUabQu_ym0Zz7PgGX0-kHA/edit?usp=sharing"",""แผน!EH47"")"),7)</f>
        <v>7</v>
      </c>
      <c r="J340" s="863">
        <f ca="1">IFERROR(__xludf.DUMMYFUNCTION("IMPORTRANGE(""https://docs.google.com/spreadsheets/d/1kVcqe37tkHyjCSG3S0O1AXqVkqjo8mSIZil3BcpIysc/edit?usp=sharing"",""ศูนย์!E47"")"),7)</f>
        <v>7</v>
      </c>
      <c r="K340" s="864">
        <f ca="1">IF(I340&gt;0,J340*100/I340,0)</f>
        <v>100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IFERROR(__xludf.DUMMYFUNCTION("IMPORTRANGE(""https://docs.google.com/spreadsheets/d/1kVcqe37tkHyjCSG3S0O1AXqVkqjo8mSIZil3BcpIysc/edit?usp=sharing"",""ศูนย์!F47"")"),830)</f>
        <v>830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IFERROR(__xludf.DUMMYFUNCTION("IMPORTRANGE(""https://docs.google.com/spreadsheets/d/1kVcqe37tkHyjCSG3S0O1AXqVkqjo8mSIZil3BcpIysc/edit?usp=sharing"",""ศูนย์!G47"")"),0)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IFERROR(__xludf.DUMMYFUNCTION("IMPORTRANGE(""https://docs.google.com/spreadsheets/d/1kVcqe37tkHyjCSG3S0O1AXqVkqjo8mSIZil3BcpIysc/edit?usp=sharing"",""ศูนย์!H47"")"),0)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1192260</v>
      </c>
      <c r="M345" s="972">
        <f t="shared" ca="1" si="155"/>
        <v>884725</v>
      </c>
      <c r="N345" s="972">
        <f t="shared" ca="1" si="155"/>
        <v>516987.95</v>
      </c>
      <c r="O345" s="972">
        <f t="shared" ref="O345:O353" ca="1" si="156">IF(L345&gt;0,N345*100/L345,0)</f>
        <v>43.362014157985676</v>
      </c>
      <c r="P345" s="972">
        <f t="shared" ref="P345:P353" ca="1" si="157">IF(M345&gt;0,N345*100/M345,0)</f>
        <v>58.434875243719802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1192260</v>
      </c>
      <c r="M347" s="870">
        <f t="shared" ca="1" si="158"/>
        <v>884725</v>
      </c>
      <c r="N347" s="870">
        <f t="shared" ca="1" si="158"/>
        <v>516987.95</v>
      </c>
      <c r="O347" s="870">
        <f t="shared" ca="1" si="156"/>
        <v>43.362014157985676</v>
      </c>
      <c r="P347" s="870">
        <f t="shared" ca="1" si="157"/>
        <v>58.434875243719802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1118160</v>
      </c>
      <c r="M348" s="864">
        <f t="shared" ca="1" si="159"/>
        <v>810625</v>
      </c>
      <c r="N348" s="864">
        <f t="shared" ca="1" si="159"/>
        <v>442887.95</v>
      </c>
      <c r="O348" s="864">
        <f t="shared" ca="1" si="156"/>
        <v>39.608638298633473</v>
      </c>
      <c r="P348" s="864">
        <f t="shared" ca="1" si="157"/>
        <v>54.635367771781034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IFERROR(__xludf.DUMMYFUNCTION("IMPORTRANGE(""https://docs.google.com/spreadsheets/d/1MeEWN-I1oV_STSDYn1IFDPWt_1FKiwhDph83XaGc0o0/edit?usp=sharing"",""งบพรบ!EW47"")"),1118160)</f>
        <v>1118160</v>
      </c>
      <c r="M350" s="870">
        <f ca="1">IFERROR(__xludf.DUMMYFUNCTION("IMPORTRANGE(""https://docs.google.com/spreadsheets/d/1MeEWN-I1oV_STSDYn1IFDPWt_1FKiwhDph83XaGc0o0/edit?usp=sharing"",""งบพรบ!FB47"")"),810625)</f>
        <v>810625</v>
      </c>
      <c r="N350" s="870">
        <f ca="1">IFERROR(__xludf.DUMMYFUNCTION("IMPORTRANGE(""https://docs.google.com/spreadsheets/d/1MeEWN-I1oV_STSDYn1IFDPWt_1FKiwhDph83XaGc0o0/edit?usp=sharing"",""งบพรบ!FD47"")"),442887.95)</f>
        <v>442887.95</v>
      </c>
      <c r="O350" s="870">
        <f t="shared" ca="1" si="156"/>
        <v>39.608638298633473</v>
      </c>
      <c r="P350" s="870">
        <f t="shared" ca="1" si="157"/>
        <v>54.635367771781034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74100</v>
      </c>
      <c r="M351" s="864">
        <f t="shared" ca="1" si="160"/>
        <v>74100</v>
      </c>
      <c r="N351" s="864">
        <f t="shared" ca="1" si="160"/>
        <v>74100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IFERROR(__xludf.DUMMYFUNCTION("IMPORTRANGE(""https://docs.google.com/spreadsheets/d/1MeEWN-I1oV_STSDYn1IFDPWt_1FKiwhDph83XaGc0o0/edit?usp=sharing"",""งบพรบ!EZ47"")"),74100)</f>
        <v>74100</v>
      </c>
      <c r="M353" s="870">
        <f ca="1">IFERROR(__xludf.DUMMYFUNCTION("IMPORTRANGE(""https://docs.google.com/spreadsheets/d/1MeEWN-I1oV_STSDYn1IFDPWt_1FKiwhDph83XaGc0o0/edit?usp=sharing"",""งบพรบ!FC47"")"),74100)</f>
        <v>74100</v>
      </c>
      <c r="N353" s="870">
        <f ca="1">IFERROR(__xludf.DUMMYFUNCTION("IMPORTRANGE(""https://docs.google.com/spreadsheets/d/1MeEWN-I1oV_STSDYn1IFDPWt_1FKiwhDph83XaGc0o0/edit?usp=sharing"",""งบพรบ!FE47"")"),74100)</f>
        <v>74100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IFERROR(__xludf.DUMMYFUNCTION("IMPORTRANGE(""https://docs.google.com/spreadsheets/d/1QqKyyYR6Q21VydFLVH3TRQUabQu_ym0Zz7PgGX0-kHA/edit?usp=sharing"",""แผน!EP47"")"),381)</f>
        <v>381</v>
      </c>
      <c r="J355" s="1186">
        <f ca="1">J362</f>
        <v>39</v>
      </c>
      <c r="K355" s="1187">
        <f ca="1">IF(I355&gt;0,J355*100/I355,0)</f>
        <v>10.236220472440944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IFERROR(__xludf.DUMMYFUNCTION("IMPORTRANGE(""https://docs.google.com/spreadsheets/d/1XWAQStnk-4SwqDmLtmXYiTMKHgktTP8We1SCoS47DrQ/edit?usp=sharing"",""จัดที่ดิน!W47"")"),191)</f>
        <v>191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IFERROR(__xludf.DUMMYFUNCTION("IMPORTRANGE(""https://docs.google.com/spreadsheets/d/1QqKyyYR6Q21VydFLVH3TRQUabQu_ym0Zz7PgGX0-kHA/edit?usp=sharing"",""แผน!EO47"")"),4100)</f>
        <v>4100</v>
      </c>
      <c r="J359" s="863">
        <f ca="1">IFERROR(__xludf.DUMMYFUNCTION("IMPORTRANGE(""https://docs.google.com/spreadsheets/d/1XWAQStnk-4SwqDmLtmXYiTMKHgktTP8We1SCoS47DrQ/edit?usp=sharing"",""จัดที่ดิน!X47"")"),2122.11)</f>
        <v>2122.11</v>
      </c>
      <c r="K359" s="864">
        <f t="shared" ca="1" si="161"/>
        <v>51.758780487804877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IFERROR(__xludf.DUMMYFUNCTION("IMPORTRANGE(""https://docs.google.com/spreadsheets/d/1QqKyyYR6Q21VydFLVH3TRQUabQu_ym0Zz7PgGX0-kHA/edit?usp=sharing"",""แผน!EP47"")"),381)</f>
        <v>381</v>
      </c>
      <c r="J360" s="863">
        <f ca="1">IFERROR(__xludf.DUMMYFUNCTION("IMPORTRANGE(""https://docs.google.com/spreadsheets/d/1XWAQStnk-4SwqDmLtmXYiTMKHgktTP8We1SCoS47DrQ/edit?usp=sharing"",""จัดที่ดิน!Y47"")"),199)</f>
        <v>199</v>
      </c>
      <c r="K360" s="864">
        <f t="shared" ca="1" si="161"/>
        <v>52.230971128608921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IFERROR(__xludf.DUMMYFUNCTION("IMPORTRANGE(""https://docs.google.com/spreadsheets/d/1XWAQStnk-4SwqDmLtmXYiTMKHgktTP8We1SCoS47DrQ/edit?usp=sharing"",""จัดที่ดิน!Z47"")"),2236.43)</f>
        <v>2236.4299999999998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IFERROR(__xludf.DUMMYFUNCTION("IMPORTRANGE(""https://docs.google.com/spreadsheets/d/1QqKyyYR6Q21VydFLVH3TRQUabQu_ym0Zz7PgGX0-kHA/edit?usp=sharing"",""แผน!EP47"")"),381)</f>
        <v>381</v>
      </c>
      <c r="J362" s="863">
        <f ca="1">IFERROR(__xludf.DUMMYFUNCTION("IMPORTRANGE(""https://docs.google.com/spreadsheets/d/1XWAQStnk-4SwqDmLtmXYiTMKHgktTP8We1SCoS47DrQ/edit?usp=sharing"",""จัดที่ดิน!AA47"")"),39)</f>
        <v>39</v>
      </c>
      <c r="K362" s="864">
        <f t="shared" ca="1" si="161"/>
        <v>10.236220472440944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IFERROR(__xludf.DUMMYFUNCTION("IMPORTRANGE(""https://docs.google.com/spreadsheets/d/1XWAQStnk-4SwqDmLtmXYiTMKHgktTP8We1SCoS47DrQ/edit?usp=sharing"",""จัดที่ดิน!AB47"")"),515.9)</f>
        <v>515.9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801</v>
      </c>
      <c r="J364" s="1199">
        <f t="shared" ca="1" si="162"/>
        <v>243</v>
      </c>
      <c r="K364" s="1200">
        <f t="shared" ca="1" si="161"/>
        <v>30.337078651685392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IFERROR(__xludf.DUMMYFUNCTION("IMPORTRANGE(""https://docs.google.com/spreadsheets/d/1QqKyyYR6Q21VydFLVH3TRQUabQu_ym0Zz7PgGX0-kHA/edit?usp=sharing"",""แผน!EJ47"")"),10)</f>
        <v>10</v>
      </c>
      <c r="J365" s="1207">
        <f ca="1">J372</f>
        <v>10</v>
      </c>
      <c r="K365" s="1208">
        <f t="shared" ca="1" si="161"/>
        <v>100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IFERROR(__xludf.DUMMYFUNCTION("IMPORTRANGE(""https://docs.google.com/spreadsheets/d/1XWAQStnk-4SwqDmLtmXYiTMKHgktTP8We1SCoS47DrQ/edit?usp=sharing"",""จัดที่ดิน!E47"")"),2)</f>
        <v>2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IFERROR(__xludf.DUMMYFUNCTION("IMPORTRANGE(""https://docs.google.com/spreadsheets/d/1QqKyyYR6Q21VydFLVH3TRQUabQu_ym0Zz7PgGX0-kHA/edit?usp=sharing"",""แผน!EI47"")"),100)</f>
        <v>100</v>
      </c>
      <c r="J369" s="863">
        <f ca="1">IFERROR(__xludf.DUMMYFUNCTION("IMPORTRANGE(""https://docs.google.com/spreadsheets/d/1XWAQStnk-4SwqDmLtmXYiTMKHgktTP8We1SCoS47DrQ/edit?usp=sharing"",""จัดที่ดิน!F47"")"),16.1)</f>
        <v>16.100000000000001</v>
      </c>
      <c r="K369" s="864">
        <f t="shared" ca="1" si="163"/>
        <v>16.100000000000001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IFERROR(__xludf.DUMMYFUNCTION("IMPORTRANGE(""https://docs.google.com/spreadsheets/d/1QqKyyYR6Q21VydFLVH3TRQUabQu_ym0Zz7PgGX0-kHA/edit?usp=sharing"",""แผน!EJ47"")"),10)</f>
        <v>10</v>
      </c>
      <c r="J370" s="863">
        <f ca="1">IFERROR(__xludf.DUMMYFUNCTION("IMPORTRANGE(""https://docs.google.com/spreadsheets/d/1XWAQStnk-4SwqDmLtmXYiTMKHgktTP8We1SCoS47DrQ/edit?usp=sharing"",""จัดที่ดิน!G47"")"),10)</f>
        <v>10</v>
      </c>
      <c r="K370" s="864">
        <f t="shared" ca="1" si="163"/>
        <v>100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IFERROR(__xludf.DUMMYFUNCTION("IMPORTRANGE(""https://docs.google.com/spreadsheets/d/1XWAQStnk-4SwqDmLtmXYiTMKHgktTP8We1SCoS47DrQ/edit?usp=sharing"",""จัดที่ดิน!H47"")"),130.42)</f>
        <v>130.41999999999999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IFERROR(__xludf.DUMMYFUNCTION("IMPORTRANGE(""https://docs.google.com/spreadsheets/d/1QqKyyYR6Q21VydFLVH3TRQUabQu_ym0Zz7PgGX0-kHA/edit?usp=sharing"",""แผน!EJ47"")"),10)</f>
        <v>10</v>
      </c>
      <c r="J372" s="863">
        <f ca="1">IFERROR(__xludf.DUMMYFUNCTION("IMPORTRANGE(""https://docs.google.com/spreadsheets/d/1XWAQStnk-4SwqDmLtmXYiTMKHgktTP8We1SCoS47DrQ/edit?usp=sharing"",""จัดที่ดิน!I47"")"),10)</f>
        <v>10</v>
      </c>
      <c r="K372" s="864">
        <f t="shared" ca="1" si="163"/>
        <v>100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IFERROR(__xludf.DUMMYFUNCTION("IMPORTRANGE(""https://docs.google.com/spreadsheets/d/1XWAQStnk-4SwqDmLtmXYiTMKHgktTP8We1SCoS47DrQ/edit?usp=sharing"",""จัดที่ดิน!J47"")"),130.42)</f>
        <v>130.41999999999999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IFERROR(__xludf.DUMMYFUNCTION("IMPORTRANGE(""https://docs.google.com/spreadsheets/d/1QqKyyYR6Q21VydFLVH3TRQUabQu_ym0Zz7PgGX0-kHA/edit?usp=sharing"",""แผน!EU47"")"),791)</f>
        <v>791</v>
      </c>
      <c r="J374" s="1207">
        <f ca="1">J381</f>
        <v>233</v>
      </c>
      <c r="K374" s="1208">
        <f t="shared" ca="1" si="163"/>
        <v>29.456384323640961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IFERROR(__xludf.DUMMYFUNCTION("IMPORTRANGE(""https://docs.google.com/spreadsheets/d/1XWAQStnk-4SwqDmLtmXYiTMKHgktTP8We1SCoS47DrQ/edit?usp=sharing"",""จัดที่ดิน!AH47"")"),189)</f>
        <v>189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IFERROR(__xludf.DUMMYFUNCTION("IMPORTRANGE(""https://docs.google.com/spreadsheets/d/1QqKyyYR6Q21VydFLVH3TRQUabQu_ym0Zz7PgGX0-kHA/edit?usp=sharing"",""แผน!ET47"")"),4000)</f>
        <v>4000</v>
      </c>
      <c r="J378" s="863">
        <f ca="1">IFERROR(__xludf.DUMMYFUNCTION("IMPORTRANGE(""https://docs.google.com/spreadsheets/d/1XWAQStnk-4SwqDmLtmXYiTMKHgktTP8We1SCoS47DrQ/edit?usp=sharing"",""จัดที่ดิน!AI47"")"),2106.01)</f>
        <v>2106.0100000000002</v>
      </c>
      <c r="K378" s="864">
        <f t="shared" ca="1" si="164"/>
        <v>52.650250000000007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IFERROR(__xludf.DUMMYFUNCTION("IMPORTRANGE(""https://docs.google.com/spreadsheets/d/1QqKyyYR6Q21VydFLVH3TRQUabQu_ym0Zz7PgGX0-kHA/edit?usp=sharing"",""แผน!EU47"")"),791)</f>
        <v>791</v>
      </c>
      <c r="J379" s="863">
        <f ca="1">IFERROR(__xludf.DUMMYFUNCTION("IMPORTRANGE(""https://docs.google.com/spreadsheets/d/1XWAQStnk-4SwqDmLtmXYiTMKHgktTP8We1SCoS47DrQ/edit?usp=sharing"",""จัดที่ดิน!AJ47"")"),396)</f>
        <v>396</v>
      </c>
      <c r="K379" s="864">
        <f t="shared" ca="1" si="164"/>
        <v>50.063211125158027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IFERROR(__xludf.DUMMYFUNCTION("IMPORTRANGE(""https://docs.google.com/spreadsheets/d/1XWAQStnk-4SwqDmLtmXYiTMKHgktTP8We1SCoS47DrQ/edit?usp=sharing"",""จัดที่ดิน!AK47"")"),5133.99)</f>
        <v>5133.99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IFERROR(__xludf.DUMMYFUNCTION("IMPORTRANGE(""https://docs.google.com/spreadsheets/d/1QqKyyYR6Q21VydFLVH3TRQUabQu_ym0Zz7PgGX0-kHA/edit?usp=sharing"",""แผน!EU47"")"),791)</f>
        <v>791</v>
      </c>
      <c r="J381" s="863">
        <f ca="1">IFERROR(__xludf.DUMMYFUNCTION("IMPORTRANGE(""https://docs.google.com/spreadsheets/d/1XWAQStnk-4SwqDmLtmXYiTMKHgktTP8We1SCoS47DrQ/edit?usp=sharing"",""จัดที่ดิน!AL47"")"),233)</f>
        <v>233</v>
      </c>
      <c r="K381" s="864">
        <f t="shared" ca="1" si="164"/>
        <v>29.456384323640961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IFERROR(__xludf.DUMMYFUNCTION("IMPORTRANGE(""https://docs.google.com/spreadsheets/d/1XWAQStnk-4SwqDmLtmXYiTMKHgktTP8We1SCoS47DrQ/edit?usp=sharing"",""จัดที่ดิน!AM47"")"),3385.35)</f>
        <v>3385.35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IFERROR(__xludf.DUMMYFUNCTION("IMPORTRANGE(""https://docs.google.com/spreadsheets/d/1QqKyyYR6Q21VydFLVH3TRQUabQu_ym0Zz7PgGX0-kHA/edit?usp=sharing"",""แผน!EW47"")"),120)</f>
        <v>120</v>
      </c>
      <c r="J385" s="1117">
        <f ca="1">IFERROR(__xludf.DUMMYFUNCTION("IMPORTRANGE(""https://docs.google.com/spreadsheets/d/1XWAQStnk-4SwqDmLtmXYiTMKHgktTP8We1SCoS47DrQ/edit?usp=sharing"",""จัดที่ดิน!AP47"")"),0)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IFERROR(__xludf.DUMMYFUNCTION("IMPORTRANGE(""https://docs.google.com/spreadsheets/d/1MeEWN-I1oV_STSDYn1IFDPWt_1FKiwhDph83XaGc0o0/edit?usp=sharing"",""งบพรบ!FG47"")"),0)</f>
        <v>0</v>
      </c>
      <c r="M394" s="870">
        <f ca="1">IFERROR(__xludf.DUMMYFUNCTION("IMPORTRANGE(""https://docs.google.com/spreadsheets/d/1MeEWN-I1oV_STSDYn1IFDPWt_1FKiwhDph83XaGc0o0/edit?usp=sharing"",""งบพรบ!FL47"")"),0)</f>
        <v>0</v>
      </c>
      <c r="N394" s="870">
        <f ca="1">IFERROR(__xludf.DUMMYFUNCTION("IMPORTRANGE(""https://docs.google.com/spreadsheets/d/1MeEWN-I1oV_STSDYn1IFDPWt_1FKiwhDph83XaGc0o0/edit?usp=sharing"",""งบพรบ!FN47"")"),0)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IFERROR(__xludf.DUMMYFUNCTION("IMPORTRANGE(""https://docs.google.com/spreadsheets/d/1MeEWN-I1oV_STSDYn1IFDPWt_1FKiwhDph83XaGc0o0/edit?usp=sharing"",""งบพรบ!FJ47"")"),0)</f>
        <v>0</v>
      </c>
      <c r="M397" s="870">
        <f ca="1">IFERROR(__xludf.DUMMYFUNCTION("IMPORTRANGE(""https://docs.google.com/spreadsheets/d/1MeEWN-I1oV_STSDYn1IFDPWt_1FKiwhDph83XaGc0o0/edit?usp=sharing"",""งบพรบ!FM47"")"),0)</f>
        <v>0</v>
      </c>
      <c r="N397" s="870">
        <f ca="1">IFERROR(__xludf.DUMMYFUNCTION("IMPORTRANGE(""https://docs.google.com/spreadsheets/d/1MeEWN-I1oV_STSDYn1IFDPWt_1FKiwhDph83XaGc0o0/edit?usp=sharing"",""งบพรบ!FO47"")"),0)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IFERROR(__xludf.DUMMYFUNCTION("IMPORTRANGE(""https://docs.google.com/spreadsheets/d/1MeEWN-I1oV_STSDYn1IFDPWt_1FKiwhDph83XaGc0o0/edit?usp=sharing"",""งบพรบ!FQ47"")"),0)</f>
        <v>0</v>
      </c>
      <c r="M407" s="870">
        <f ca="1">IFERROR(__xludf.DUMMYFUNCTION("IMPORTRANGE(""https://docs.google.com/spreadsheets/d/1MeEWN-I1oV_STSDYn1IFDPWt_1FKiwhDph83XaGc0o0/edit?usp=sharing"",""งบพรบ!FV47"")"),0)</f>
        <v>0</v>
      </c>
      <c r="N407" s="870">
        <f ca="1">IFERROR(__xludf.DUMMYFUNCTION("IMPORTRANGE(""https://docs.google.com/spreadsheets/d/1MeEWN-I1oV_STSDYn1IFDPWt_1FKiwhDph83XaGc0o0/edit?usp=sharing"",""งบพรบ!FX47"")"),0)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IFERROR(__xludf.DUMMYFUNCTION("IMPORTRANGE(""https://docs.google.com/spreadsheets/d/1MeEWN-I1oV_STSDYn1IFDPWt_1FKiwhDph83XaGc0o0/edit?usp=sharing"",""งบพรบ!FT47"")"),0)</f>
        <v>0</v>
      </c>
      <c r="M410" s="870">
        <f ca="1">IFERROR(__xludf.DUMMYFUNCTION("IMPORTRANGE(""https://docs.google.com/spreadsheets/d/1MeEWN-I1oV_STSDYn1IFDPWt_1FKiwhDph83XaGc0o0/edit?usp=sharing"",""งบพรบ!FW47"")"),0)</f>
        <v>0</v>
      </c>
      <c r="N410" s="870">
        <f ca="1">IFERROR(__xludf.DUMMYFUNCTION("IMPORTRANGE(""https://docs.google.com/spreadsheets/d/1MeEWN-I1oV_STSDYn1IFDPWt_1FKiwhDph83XaGc0o0/edit?usp=sharing"",""งบพรบ!FY47"")"),0)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2030048</v>
      </c>
      <c r="M414" s="1257">
        <f t="shared" si="181"/>
        <v>0</v>
      </c>
      <c r="N414" s="1257">
        <f t="shared" si="181"/>
        <v>601781.63</v>
      </c>
      <c r="O414" s="1257">
        <f ca="1">IF(L414&gt;0,N414*100/L414,0)</f>
        <v>29.643714335818661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0</v>
      </c>
      <c r="K417" s="1271">
        <f t="shared" ref="K417:K418" ca="1" si="183">IF(I417&gt;0,J417*100/I417,0)</f>
        <v>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0</v>
      </c>
      <c r="K418" s="1271">
        <f t="shared" ca="1" si="183"/>
        <v>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40015</v>
      </c>
      <c r="O419" s="972">
        <f t="shared" ref="O419:O424" ca="1" si="185">IF(L419&gt;0,N419*100/L419,0)</f>
        <v>50.870836511568776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40015</v>
      </c>
      <c r="O421" s="870">
        <f t="shared" ca="1" si="185"/>
        <v>50.870836511568776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40015</v>
      </c>
      <c r="O422" s="864">
        <f t="shared" ca="1" si="185"/>
        <v>50.870836511568776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IFERROR(__xludf.DUMMYFUNCTION("IMPORTRANGE(""https://docs.google.com/spreadsheets/d/1QqKyyYR6Q21VydFLVH3TRQUabQu_ym0Zz7PgGX0-kHA/edit?usp=sharing"",""แผน!EY47"")"),78660)</f>
        <v>78660</v>
      </c>
      <c r="M424" s="870">
        <v>0</v>
      </c>
      <c r="N424" s="870">
        <f>N425+N426+N427+N428</f>
        <v>40015</v>
      </c>
      <c r="O424" s="870">
        <f t="shared" ca="1" si="185"/>
        <v>50.870836511568776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35315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4700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IFERROR(__xludf.DUMMYFUNCTION("IMPORTRANGE(""https://docs.google.com/spreadsheets/d/1QqKyyYR6Q21VydFLVH3TRQUabQu_ym0Zz7PgGX0-kHA/edit?usp=sharing"",""แผน!FB47"")"),0)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0</v>
      </c>
      <c r="K433" s="1000">
        <f t="shared" ref="K433:K435" ca="1" si="192">IF(I433&gt;0,J433*100/I433,0)</f>
        <v>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0</v>
      </c>
      <c r="K434" s="1000">
        <f t="shared" ca="1" si="192"/>
        <v>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IFERROR(__xludf.DUMMYFUNCTION("IMPORTRANGE(""https://docs.google.com/spreadsheets/d/1QqKyyYR6Q21VydFLVH3TRQUabQu_ym0Zz7PgGX0-kHA/edit?usp=sharing"",""แผน!FC47"")"),20)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IFERROR(__xludf.DUMMYFUNCTION("IMPORTRANGE(""https://docs.google.com/spreadsheets/d/1QqKyyYR6Q21VydFLVH3TRQUabQu_ym0Zz7PgGX0-kHA/edit?usp=sharing"",""แผน!FD47"")"),0)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IFERROR(__xludf.DUMMYFUNCTION("IMPORTRANGE(""https://docs.google.com/spreadsheets/d/1QqKyyYR6Q21VydFLVH3TRQUabQu_ym0Zz7PgGX0-kHA/edit?usp=sharing"",""แผน!FE47"")"),0)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IFERROR(__xludf.DUMMYFUNCTION("IMPORTRANGE(""https://docs.google.com/spreadsheets/d/1QqKyyYR6Q21VydFLVH3TRQUabQu_ym0Zz7PgGX0-kHA/edit?usp=sharing"",""แผน!FF47"")"),20)</f>
        <v>20</v>
      </c>
      <c r="J439" s="578">
        <v>0</v>
      </c>
      <c r="K439" s="864">
        <f t="shared" ca="1" si="194"/>
        <v>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IFERROR(__xludf.DUMMYFUNCTION("IMPORTRANGE(""https://docs.google.com/spreadsheets/d/1QqKyyYR6Q21VydFLVH3TRQUabQu_ym0Zz7PgGX0-kHA/edit?usp=sharing"",""แผน!FG47"")"),1)</f>
        <v>1</v>
      </c>
      <c r="J440" s="992">
        <v>0</v>
      </c>
      <c r="K440" s="864">
        <f t="shared" ca="1" si="194"/>
        <v>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IFERROR(__xludf.DUMMYFUNCTION("IMPORTRANGE(""https://docs.google.com/spreadsheets/d/1QqKyyYR6Q21VydFLVH3TRQUabQu_ym0Zz7PgGX0-kHA/edit?usp=sharing"",""แผน!FH47"")"),0)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90</v>
      </c>
      <c r="J442" s="1285">
        <f t="shared" si="195"/>
        <v>90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400</v>
      </c>
      <c r="J443" s="1270">
        <f t="shared" si="196"/>
        <v>200</v>
      </c>
      <c r="K443" s="1271">
        <f t="shared" ca="1" si="194"/>
        <v>50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733184</v>
      </c>
      <c r="M444" s="1000">
        <f t="shared" si="197"/>
        <v>0</v>
      </c>
      <c r="N444" s="1000">
        <f t="shared" si="197"/>
        <v>184543.25</v>
      </c>
      <c r="O444" s="1000">
        <f t="shared" ref="O444:O449" ca="1" si="198">IF(L444&gt;0,N444*100/L444,0)</f>
        <v>25.170114186888966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733184</v>
      </c>
      <c r="M446" s="870">
        <f t="shared" si="200"/>
        <v>0</v>
      </c>
      <c r="N446" s="870">
        <f t="shared" si="200"/>
        <v>184543.25</v>
      </c>
      <c r="O446" s="870">
        <f t="shared" ca="1" si="198"/>
        <v>25.170114186888966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733184</v>
      </c>
      <c r="M447" s="864">
        <f t="shared" si="201"/>
        <v>0</v>
      </c>
      <c r="N447" s="864">
        <f t="shared" si="201"/>
        <v>184543.25</v>
      </c>
      <c r="O447" s="864">
        <f t="shared" ca="1" si="198"/>
        <v>25.170114186888966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IFERROR(__xludf.DUMMYFUNCTION("IMPORTRANGE(""https://docs.google.com/spreadsheets/d/1QqKyyYR6Q21VydFLVH3TRQUabQu_ym0Zz7PgGX0-kHA/edit?usp=sharing"",""แผน!FJ47"")"),733184)</f>
        <v>733184</v>
      </c>
      <c r="M449" s="870">
        <v>0</v>
      </c>
      <c r="N449" s="870">
        <f>N450+N451+N452+N453</f>
        <v>184543.25</v>
      </c>
      <c r="O449" s="870">
        <f t="shared" ca="1" si="198"/>
        <v>25.170114186888966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97480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49903.25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37160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IFERROR(__xludf.DUMMYFUNCTION("IMPORTRANGE(""https://docs.google.com/spreadsheets/d/1QqKyyYR6Q21VydFLVH3TRQUabQu_ym0Zz7PgGX0-kHA/edit?usp=sharing"",""แผน!FM47"")"),0)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IFERROR(__xludf.DUMMYFUNCTION("IMPORTRANGE(""https://docs.google.com/spreadsheets/d/1QqKyyYR6Q21VydFLVH3TRQUabQu_ym0Zz7PgGX0-kHA/edit?usp=sharing"",""แผน!FN47"")"),90)</f>
        <v>90</v>
      </c>
      <c r="J460" s="992">
        <v>90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IFERROR(__xludf.DUMMYFUNCTION("IMPORTRANGE(""https://docs.google.com/spreadsheets/d/1QqKyyYR6Q21VydFLVH3TRQUabQu_ym0Zz7PgGX0-kHA/edit?usp=sharing"",""แผน!FO47"")"),400)</f>
        <v>400</v>
      </c>
      <c r="J462" s="992">
        <v>200</v>
      </c>
      <c r="K462" s="864">
        <f ca="1">IF(I462&gt;0,J462*100/I462,0)</f>
        <v>50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IFERROR(__xludf.DUMMYFUNCTION("IMPORTRANGE(""https://docs.google.com/spreadsheets/d/1QqKyyYR6Q21VydFLVH3TRQUabQu_ym0Zz7PgGX0-kHA/edit?usp=sharing"",""แผน!FO47"")"),400)</f>
        <v>400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IFERROR(__xludf.DUMMYFUNCTION("IMPORTRANGE(""https://docs.google.com/spreadsheets/d/1QqKyyYR6Q21VydFLVH3TRQUabQu_ym0Zz7PgGX0-kHA/edit?usp=sharing"",""แผน!FN47"")"),90)</f>
        <v>90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IFERROR(__xludf.DUMMYFUNCTION("IMPORTRANGE(""https://docs.google.com/spreadsheets/d/1QqKyyYR6Q21VydFLVH3TRQUabQu_ym0Zz7PgGX0-kHA/edit?usp=sharing"",""แผน!FX47"")"),51)</f>
        <v>51</v>
      </c>
      <c r="J465" s="1285">
        <f>J485+J489+J492</f>
        <v>0</v>
      </c>
      <c r="K465" s="1286">
        <f t="shared" ref="K465:K466" ca="1" si="205">IF(I465&gt;0,J465*100/I465,0)</f>
        <v>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IFERROR(__xludf.DUMMYFUNCTION("IMPORTRANGE(""https://docs.google.com/spreadsheets/d/1QqKyyYR6Q21VydFLVH3TRQUabQu_ym0Zz7PgGX0-kHA/edit?usp=sharing"",""แผน!FW47"")"),500)</f>
        <v>500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414993</v>
      </c>
      <c r="M467" s="1000">
        <f t="shared" si="206"/>
        <v>0</v>
      </c>
      <c r="N467" s="1000">
        <f t="shared" si="206"/>
        <v>14690</v>
      </c>
      <c r="O467" s="1000">
        <f t="shared" ref="O467:O472" ca="1" si="207">IF(L467&gt;0,N467*100/L467,0)</f>
        <v>3.5398187439306206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414993</v>
      </c>
      <c r="M469" s="870">
        <f t="shared" si="209"/>
        <v>0</v>
      </c>
      <c r="N469" s="870">
        <f t="shared" si="209"/>
        <v>14690</v>
      </c>
      <c r="O469" s="870">
        <f t="shared" ca="1" si="207"/>
        <v>3.5398187439306206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414993</v>
      </c>
      <c r="M470" s="864">
        <f t="shared" si="210"/>
        <v>0</v>
      </c>
      <c r="N470" s="864">
        <f t="shared" si="210"/>
        <v>14690</v>
      </c>
      <c r="O470" s="864">
        <f t="shared" ca="1" si="207"/>
        <v>3.5398187439306206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IFERROR(__xludf.DUMMYFUNCTION("IMPORTRANGE(""https://docs.google.com/spreadsheets/d/1QqKyyYR6Q21VydFLVH3TRQUabQu_ym0Zz7PgGX0-kHA/edit?usp=sharing"",""แผน!FS47"")"),414993)</f>
        <v>414993</v>
      </c>
      <c r="M472" s="870">
        <v>0</v>
      </c>
      <c r="N472" s="870">
        <f>N473+N474+N475+N476</f>
        <v>14690</v>
      </c>
      <c r="O472" s="870">
        <f t="shared" ca="1" si="207"/>
        <v>3.5398187439306206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0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1200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13490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IFERROR(__xludf.DUMMYFUNCTION("IMPORTRANGE(""https://docs.google.com/spreadsheets/d/1QqKyyYR6Q21VydFLVH3TRQUabQu_ym0Zz7PgGX0-kHA/edit?usp=sharing"",""แผน!FV47"")"),0)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IFERROR(__xludf.DUMMYFUNCTION("IMPORTRANGE(""https://docs.google.com/spreadsheets/d/1QqKyyYR6Q21VydFLVH3TRQUabQu_ym0Zz7PgGX0-kHA/edit?usp=sharing"",""แผน!FY47"")"),450)</f>
        <v>450</v>
      </c>
      <c r="J483" s="992">
        <v>0</v>
      </c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IFERROR(__xludf.DUMMYFUNCTION("IMPORTRANGE(""https://docs.google.com/spreadsheets/d/1QqKyyYR6Q21VydFLVH3TRQUabQu_ym0Zz7PgGX0-kHA/edit?usp=sharing"",""แผน!FZ47"")"),45)</f>
        <v>45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IFERROR(__xludf.DUMMYFUNCTION("IMPORTRANGE(""https://docs.google.com/spreadsheets/d/1QqKyyYR6Q21VydFLVH3TRQUabQu_ym0Zz7PgGX0-kHA/edit?usp=sharing"",""แผน!GA47"")"),50)</f>
        <v>50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IFERROR(__xludf.DUMMYFUNCTION("IMPORTRANGE(""https://docs.google.com/spreadsheets/d/1QqKyyYR6Q21VydFLVH3TRQUabQu_ym0Zz7PgGX0-kHA/edit?usp=sharing"",""แผน!GB47"")"),5)</f>
        <v>5</v>
      </c>
      <c r="J489" s="992">
        <v>0</v>
      </c>
      <c r="K489" s="864">
        <f ca="1">IF(I489&gt;0,J489*100/I489,0)</f>
        <v>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IFERROR(__xludf.DUMMYFUNCTION("IMPORTRANGE(""https://docs.google.com/spreadsheets/d/1QqKyyYR6Q21VydFLVH3TRQUabQu_ym0Zz7PgGX0-kHA/edit?usp=sharing"",""แผน!GC47"")"),1)</f>
        <v>1</v>
      </c>
      <c r="J492" s="992">
        <v>0</v>
      </c>
      <c r="K492" s="864">
        <f ca="1">IF(I492&gt;0,J492*100/I492,0)</f>
        <v>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IFERROR(__xludf.DUMMYFUNCTION("IMPORTRANGE(""https://docs.google.com/spreadsheets/d/1QqKyyYR6Q21VydFLVH3TRQUabQu_ym0Zz7PgGX0-kHA/edit?usp=sharing"",""แผน!FY47"")"),450)</f>
        <v>450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IFERROR(__xludf.DUMMYFUNCTION("IMPORTRANGE(""https://docs.google.com/spreadsheets/d/1QqKyyYR6Q21VydFLVH3TRQUabQu_ym0Zz7PgGX0-kHA/edit?usp=sharing"",""แผน!GA47"")"),50)</f>
        <v>50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IFERROR(__xludf.DUMMYFUNCTION("IMPORTRANGE(""https://docs.google.com/spreadsheets/d/1QqKyyYR6Q21VydFLVH3TRQUabQu_ym0Zz7PgGX0-kHA/edit?usp=sharing"",""แผน!GQ47"")"),0)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IFERROR(__xludf.DUMMYFUNCTION("IMPORTRANGE(""https://docs.google.com/spreadsheets/d/1QqKyyYR6Q21VydFLVH3TRQUabQu_ym0Zz7PgGX0-kHA/edit?usp=sharing"",""แผน!GT47"")"),0)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IFERROR(__xludf.DUMMYFUNCTION("IMPORTRANGE(""https://docs.google.com/spreadsheets/d/1QqKyyYR6Q21VydFLVH3TRQUabQu_ym0Zz7PgGX0-kHA/edit?usp=sharing"",""แผน!GU47"")"),0)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IFERROR(__xludf.DUMMYFUNCTION("IMPORTRANGE(""https://docs.google.com/spreadsheets/d/1QqKyyYR6Q21VydFLVH3TRQUabQu_ym0Zz7PgGX0-kHA/edit?usp=sharing"",""แผน!GV47"")"),0)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IFERROR(__xludf.DUMMYFUNCTION("IMPORTRANGE(""https://docs.google.com/spreadsheets/d/1QqKyyYR6Q21VydFLVH3TRQUabQu_ym0Zz7PgGX0-kHA/edit?usp=sharing"",""แผน!GW47"")"),0)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IFERROR(__xludf.DUMMYFUNCTION("IMPORTRANGE(""https://docs.google.com/spreadsheets/d/1QqKyyYR6Q21VydFLVH3TRQUabQu_ym0Zz7PgGX0-kHA/edit?usp=sharing"",""แผน!GX47"")"),0)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IFERROR(__xludf.DUMMYFUNCTION("IMPORTRANGE(""https://docs.google.com/spreadsheets/d/1QqKyyYR6Q21VydFLVH3TRQUabQu_ym0Zz7PgGX0-kHA/edit?usp=sharing"",""แผน!GY47"")"),0)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IFERROR(__xludf.DUMMYFUNCTION("IMPORTRANGE(""https://docs.google.com/spreadsheets/d/1QqKyyYR6Q21VydFLVH3TRQUabQu_ym0Zz7PgGX0-kHA/edit?usp=sharing"",""แผน!GZ47"")"),0)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3345</v>
      </c>
      <c r="J543" s="1357">
        <f t="shared" si="235"/>
        <v>3330</v>
      </c>
      <c r="K543" s="1358">
        <f t="shared" ca="1" si="234"/>
        <v>99.551569506726452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361311</v>
      </c>
      <c r="M544" s="972">
        <f t="shared" si="236"/>
        <v>0</v>
      </c>
      <c r="N544" s="972">
        <f t="shared" si="236"/>
        <v>230420</v>
      </c>
      <c r="O544" s="972">
        <f t="shared" ref="O544:O549" ca="1" si="237">IF(L544&gt;0,N544*100/L544,0)</f>
        <v>63.77331440227394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361311</v>
      </c>
      <c r="M546" s="870">
        <f t="shared" si="240"/>
        <v>0</v>
      </c>
      <c r="N546" s="870">
        <f t="shared" si="240"/>
        <v>230420</v>
      </c>
      <c r="O546" s="870">
        <f t="shared" ca="1" si="237"/>
        <v>63.77331440227394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361311</v>
      </c>
      <c r="M547" s="864">
        <f t="shared" si="241"/>
        <v>0</v>
      </c>
      <c r="N547" s="864">
        <f t="shared" si="241"/>
        <v>230420</v>
      </c>
      <c r="O547" s="864">
        <f t="shared" ca="1" si="237"/>
        <v>63.77331440227394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IFERROR(__xludf.DUMMYFUNCTION("IMPORTRANGE(""https://docs.google.com/spreadsheets/d/1QqKyyYR6Q21VydFLVH3TRQUabQu_ym0Zz7PgGX0-kHA/edit?usp=sharing"",""แผน!HB47"")"),361311)</f>
        <v>361311</v>
      </c>
      <c r="M549" s="870">
        <v>0</v>
      </c>
      <c r="N549" s="870">
        <f>N550+N551+N552+N553+N554</f>
        <v>230420</v>
      </c>
      <c r="O549" s="870">
        <f t="shared" ca="1" si="237"/>
        <v>63.77331440227394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178420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IFERROR(__xludf.DUMMYFUNCTION("IMPORTRANGE(""https://docs.google.com/spreadsheets/d/1QqKyyYR6Q21VydFLVH3TRQUabQu_ym0Zz7PgGX0-kHA/edit?usp=sharing"",""แผน!HF47"")"),0)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3345</v>
      </c>
      <c r="J559" s="1350">
        <f t="shared" si="245"/>
        <v>3330</v>
      </c>
      <c r="K559" s="1351">
        <f t="shared" ref="K559:K561" ca="1" si="246">IF(I559&gt;0,J559*100/I559,0)</f>
        <v>99.551569506726452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IFERROR(__xludf.DUMMYFUNCTION("IMPORTRANGE(""https://docs.google.com/spreadsheets/d/1QqKyyYR6Q21VydFLVH3TRQUabQu_ym0Zz7PgGX0-kHA/edit?usp=sharing"",""แผน!HH47"")"),3345)</f>
        <v>3345</v>
      </c>
      <c r="J560" s="998">
        <f t="shared" ref="J560:J561" si="247">J562+J564+J566</f>
        <v>3528.72</v>
      </c>
      <c r="K560" s="1142">
        <f t="shared" ca="1" si="246"/>
        <v>105.49237668161435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IFERROR(__xludf.DUMMYFUNCTION("IMPORTRANGE(""https://docs.google.com/spreadsheets/d/1QqKyyYR6Q21VydFLVH3TRQUabQu_ym0Zz7PgGX0-kHA/edit?usp=sharing"",""แผน!HG47"")"),1178)</f>
        <v>1178</v>
      </c>
      <c r="J561" s="998">
        <f t="shared" si="247"/>
        <v>1220</v>
      </c>
      <c r="K561" s="1142">
        <f t="shared" ca="1" si="246"/>
        <v>103.56536502546689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3138.22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1122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304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80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86.5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18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IFERROR(__xludf.DUMMYFUNCTION("IMPORTRANGE(""https://docs.google.com/spreadsheets/d/1QqKyyYR6Q21VydFLVH3TRQUabQu_ym0Zz7PgGX0-kHA/edit?usp=sharing"",""แผน!HH47"")"),3345)</f>
        <v>3345</v>
      </c>
      <c r="J568" s="999">
        <f t="shared" ref="J568:J569" si="248">J570+J572+J574</f>
        <v>3345.5</v>
      </c>
      <c r="K568" s="1142">
        <f t="shared" ref="K568:K569" ca="1" si="249">IF(I568&gt;0,J568*100/I568,0)</f>
        <v>100.01494768310911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IFERROR(__xludf.DUMMYFUNCTION("IMPORTRANGE(""https://docs.google.com/spreadsheets/d/1QqKyyYR6Q21VydFLVH3TRQUabQu_ym0Zz7PgGX0-kHA/edit?usp=sharing"",""แผน!HG47"")"),1178)</f>
        <v>1178</v>
      </c>
      <c r="J569" s="999">
        <f t="shared" si="248"/>
        <v>1178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3025.6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1088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233.4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72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86.5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18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IFERROR(__xludf.DUMMYFUNCTION("IMPORTRANGE(""https://docs.google.com/spreadsheets/d/1QqKyyYR6Q21VydFLVH3TRQUabQu_ym0Zz7PgGX0-kHA/edit?usp=sharing"",""แผน!HH47"")"),3345)</f>
        <v>3345</v>
      </c>
      <c r="J576" s="999">
        <f t="shared" ref="J576:J577" si="250">J578+J580+J582+J588+J590</f>
        <v>3330</v>
      </c>
      <c r="K576" s="1142">
        <f t="shared" ref="K576:K577" ca="1" si="251">IF(I576&gt;0,J576*100/I576,0)</f>
        <v>99.551569506726452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IFERROR(__xludf.DUMMYFUNCTION("IMPORTRANGE(""https://docs.google.com/spreadsheets/d/1QqKyyYR6Q21VydFLVH3TRQUabQu_ym0Zz7PgGX0-kHA/edit?usp=sharing"",""แผน!HG47"")"),1178)</f>
        <v>1178</v>
      </c>
      <c r="J577" s="999">
        <f t="shared" si="250"/>
        <v>1177</v>
      </c>
      <c r="K577" s="1142">
        <f t="shared" ca="1" si="251"/>
        <v>99.915110356536502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3145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1129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13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3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70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16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70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16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102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29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5126.55</v>
      </c>
      <c r="J592" s="1350">
        <f t="shared" si="253"/>
        <v>1925</v>
      </c>
      <c r="K592" s="1351">
        <f t="shared" ref="K592:K594" ca="1" si="254">IF(I592&gt;0,J592*100/I592,0)</f>
        <v>37.549619139577295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IFERROR(__xludf.DUMMYFUNCTION("IMPORTRANGE(""https://docs.google.com/spreadsheets/d/1QqKyyYR6Q21VydFLVH3TRQUabQu_ym0Zz7PgGX0-kHA/edit?usp=sharing"",""แผน!HJ47"")"),5126.55)</f>
        <v>5126.55</v>
      </c>
      <c r="J593" s="998">
        <f t="shared" ref="J593:J594" si="255">J595+J603+J609</f>
        <v>1925</v>
      </c>
      <c r="K593" s="1142">
        <f t="shared" ca="1" si="254"/>
        <v>37.549619139577295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IFERROR(__xludf.DUMMYFUNCTION("IMPORTRANGE(""https://docs.google.com/spreadsheets/d/1QqKyyYR6Q21VydFLVH3TRQUabQu_ym0Zz7PgGX0-kHA/edit?usp=sharing"",""แผน!HI47"")"),350)</f>
        <v>350</v>
      </c>
      <c r="J594" s="998">
        <f t="shared" si="255"/>
        <v>135</v>
      </c>
      <c r="K594" s="1142">
        <f t="shared" ca="1" si="254"/>
        <v>38.571428571428569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1533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109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839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68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694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41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11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1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306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17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4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1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302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16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86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9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IFERROR(__xludf.DUMMYFUNCTION("IMPORTRANGE(""https://docs.google.com/spreadsheets/d/1QqKyyYR6Q21VydFLVH3TRQUabQu_ym0Zz7PgGX0-kHA/edit?usp=sharing"",""แผน!HL47"")"),1)</f>
        <v>1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IFERROR(__xludf.DUMMYFUNCTION("IMPORTRANGE(""https://docs.google.com/spreadsheets/d/1QqKyyYR6Q21VydFLVH3TRQUabQu_ym0Zz7PgGX0-kHA/edit?usp=sharing"",""แผน!HK47"")"),1)</f>
        <v>1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230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423310</v>
      </c>
      <c r="M629" s="1000">
        <f t="shared" si="263"/>
        <v>0</v>
      </c>
      <c r="N629" s="1000">
        <f t="shared" si="263"/>
        <v>124913.38</v>
      </c>
      <c r="O629" s="1000">
        <f t="shared" ref="O629:O634" ca="1" si="264">IF(L629&gt;0,N629*100/L629,0)</f>
        <v>29.508724102903308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423310</v>
      </c>
      <c r="M631" s="870">
        <f t="shared" si="266"/>
        <v>0</v>
      </c>
      <c r="N631" s="870">
        <f t="shared" si="266"/>
        <v>124913.38</v>
      </c>
      <c r="O631" s="870">
        <f t="shared" ca="1" si="264"/>
        <v>29.508724102903308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423310</v>
      </c>
      <c r="M632" s="864">
        <f t="shared" si="267"/>
        <v>0</v>
      </c>
      <c r="N632" s="864">
        <f t="shared" si="267"/>
        <v>124913.38</v>
      </c>
      <c r="O632" s="864">
        <f t="shared" ca="1" si="264"/>
        <v>29.508724102903308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IFERROR(__xludf.DUMMYFUNCTION("IMPORTRANGE(""https://docs.google.com/spreadsheets/d/1QqKyyYR6Q21VydFLVH3TRQUabQu_ym0Zz7PgGX0-kHA/edit?usp=sharing"",""แผน!HN47"")"),423310)</f>
        <v>423310</v>
      </c>
      <c r="M634" s="870">
        <v>0</v>
      </c>
      <c r="N634" s="870">
        <f>N635+N636+N637+N638</f>
        <v>124913.38</v>
      </c>
      <c r="O634" s="870">
        <f t="shared" ca="1" si="264"/>
        <v>29.508724102903308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52000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72913.38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IFERROR(__xludf.DUMMYFUNCTION("IMPORTRANGE(""https://docs.google.com/spreadsheets/d/1QqKyyYR6Q21VydFLVH3TRQUabQu_ym0Zz7PgGX0-kHA/edit?usp=sharing"",""แผน!HQ47"")"),0)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IFERROR(__xludf.DUMMYFUNCTION("IMPORTRANGE(""https://docs.google.com/spreadsheets/d/1QqKyyYR6Q21VydFLVH3TRQUabQu_ym0Zz7PgGX0-kHA/edit?usp=sharing"",""แผน!HR47"")"),0)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IFERROR(__xludf.DUMMYFUNCTION("IMPORTRANGE(""https://docs.google.com/spreadsheets/d/1QqKyyYR6Q21VydFLVH3TRQUabQu_ym0Zz7PgGX0-kHA/edit?usp=sharing"",""แผน!HR47"")"),0)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IFERROR(__xludf.DUMMYFUNCTION("IMPORTRANGE(""https://docs.google.com/spreadsheets/d/1XWAQStnk-4SwqDmLtmXYiTMKHgktTP8We1SCoS47DrQ/edit?usp=sharing"",""จัดที่ดิน!AS47"")"),78)</f>
        <v>78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IFERROR(__xludf.DUMMYFUNCTION("IMPORTRANGE(""https://docs.google.com/spreadsheets/d/1XWAQStnk-4SwqDmLtmXYiTMKHgktTP8We1SCoS47DrQ/edit?usp=sharing"",""จัดที่ดิน!AT47"")"),31.73)</f>
        <v>31.73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IFERROR(__xludf.DUMMYFUNCTION("IMPORTRANGE(""https://docs.google.com/spreadsheets/d/1QqKyyYR6Q21VydFLVH3TRQUabQu_ym0Zz7PgGX0-kHA/edit?usp=sharing"",""แผน!HS47"")"),230)</f>
        <v>230</v>
      </c>
      <c r="J647" s="863">
        <f ca="1">IFERROR(__xludf.DUMMYFUNCTION("IMPORTRANGE(""https://docs.google.com/spreadsheets/d/1XWAQStnk-4SwqDmLtmXYiTMKHgktTP8We1SCoS47DrQ/edit?usp=sharing"",""จัดที่ดิน!AU47"")"),78)</f>
        <v>78</v>
      </c>
      <c r="K647" s="978">
        <f t="shared" ca="1" si="271"/>
        <v>33.913043478260867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IFERROR(__xludf.DUMMYFUNCTION("IMPORTRANGE(""https://docs.google.com/spreadsheets/d/1XWAQStnk-4SwqDmLtmXYiTMKHgktTP8We1SCoS47DrQ/edit?usp=sharing"",""จัดที่ดิน!AV47"")"),31.73)</f>
        <v>31.73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IFERROR(__xludf.DUMMYFUNCTION("IMPORTRANGE(""https://docs.google.com/spreadsheets/d/1QqKyyYR6Q21VydFLVH3TRQUabQu_ym0Zz7PgGX0-kHA/edit?usp=sharing"",""แผน!HS47"")"),230)</f>
        <v>230</v>
      </c>
      <c r="J649" s="863">
        <f ca="1">IFERROR(__xludf.DUMMYFUNCTION("IMPORTRANGE(""https://docs.google.com/spreadsheets/d/1XWAQStnk-4SwqDmLtmXYiTMKHgktTP8We1SCoS47DrQ/edit?usp=sharing"",""จัดที่ดิน!AW47"")"),0)</f>
        <v>0</v>
      </c>
      <c r="K649" s="978">
        <f t="shared" ca="1" si="271"/>
        <v>0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IFERROR(__xludf.DUMMYFUNCTION("IMPORTRANGE(""https://docs.google.com/spreadsheets/d/1XWAQStnk-4SwqDmLtmXYiTMKHgktTP8We1SCoS47DrQ/edit?usp=sharing"",""จัดที่ดิน!AX47"")"),0)</f>
        <v>0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IFERROR(__xludf.DUMMYFUNCTION("IMPORTRANGE(""https://docs.google.com/spreadsheets/d/1QqKyyYR6Q21VydFLVH3TRQUabQu_ym0Zz7PgGX0-kHA/edit?usp=sharing"",""แผน!HS47"")"),230)</f>
        <v>230</v>
      </c>
      <c r="J651" s="863">
        <f ca="1">IFERROR(__xludf.DUMMYFUNCTION("IMPORTRANGE(""https://docs.google.com/spreadsheets/d/1XWAQStnk-4SwqDmLtmXYiTMKHgktTP8We1SCoS47DrQ/edit?usp=sharing"",""จัดที่ดิน!AY47"")"),0)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IFERROR(__xludf.DUMMYFUNCTION("IMPORTRANGE(""https://docs.google.com/spreadsheets/d/1XWAQStnk-4SwqDmLtmXYiTMKHgktTP8We1SCoS47DrQ/edit?usp=sharing"",""จัดที่ดิน!AZ47"")"),0)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12400</v>
      </c>
      <c r="M655" s="1000">
        <f t="shared" si="273"/>
        <v>0</v>
      </c>
      <c r="N655" s="1000">
        <f t="shared" si="273"/>
        <v>6340</v>
      </c>
      <c r="O655" s="1000">
        <f t="shared" ref="O655:O660" ca="1" si="274">IF(L655&gt;0,N655*100/L655,0)</f>
        <v>51.12903225806452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12400</v>
      </c>
      <c r="M657" s="870">
        <f t="shared" si="276"/>
        <v>0</v>
      </c>
      <c r="N657" s="870">
        <f t="shared" si="276"/>
        <v>6340</v>
      </c>
      <c r="O657" s="870">
        <f t="shared" ca="1" si="274"/>
        <v>51.12903225806452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12400</v>
      </c>
      <c r="M658" s="864">
        <f t="shared" si="277"/>
        <v>0</v>
      </c>
      <c r="N658" s="864">
        <f t="shared" si="277"/>
        <v>6340</v>
      </c>
      <c r="O658" s="864">
        <f t="shared" ca="1" si="274"/>
        <v>51.12903225806452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IFERROR(__xludf.DUMMYFUNCTION("IMPORTRANGE(""https://docs.google.com/spreadsheets/d/1QqKyyYR6Q21VydFLVH3TRQUabQu_ym0Zz7PgGX0-kHA/edit?usp=sharing"",""แผน!HV47"")"),12400)</f>
        <v>12400</v>
      </c>
      <c r="M660" s="870">
        <v>0</v>
      </c>
      <c r="N660" s="870">
        <f>N661+N662+N663+N664</f>
        <v>6340</v>
      </c>
      <c r="O660" s="870">
        <f t="shared" ca="1" si="274"/>
        <v>51.12903225806452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6340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IFERROR(__xludf.DUMMYFUNCTION("IMPORTRANGE(""https://docs.google.com/spreadsheets/d/1QqKyyYR6Q21VydFLVH3TRQUabQu_ym0Zz7PgGX0-kHA/edit?usp=sharing"",""แผน!IA47"")"),100)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IFERROR(__xludf.DUMMYFUNCTION("IMPORTRANGE(""https://docs.google.com/spreadsheets/d/1QqKyyYR6Q21VydFLVH3TRQUabQu_ym0Zz7PgGX0-kHA/edit?usp=sharing"",""แผน!HZ47"")"),4)</f>
        <v>4</v>
      </c>
      <c r="J670" s="992">
        <v>4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IFERROR(__xludf.DUMMYFUNCTION("IMPORTRANGE(""https://docs.google.com/spreadsheets/d/1QqKyyYR6Q21VydFLVH3TRQUabQu_ym0Zz7PgGX0-kHA/edit?usp=sharing"",""แผน!HZ47"")"),4)</f>
        <v>4</v>
      </c>
      <c r="J671" s="992">
        <v>4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IFERROR(__xludf.DUMMYFUNCTION("IMPORTRANGE(""https://docs.google.com/spreadsheets/d/1QqKyyYR6Q21VydFLVH3TRQUabQu_ym0Zz7PgGX0-kHA/edit?usp=sharing"",""แผน!IB47"")"),0)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6190</v>
      </c>
      <c r="M685" s="1000">
        <f t="shared" si="282"/>
        <v>0</v>
      </c>
      <c r="N685" s="1000">
        <f t="shared" si="282"/>
        <v>860</v>
      </c>
      <c r="O685" s="1000">
        <f t="shared" ref="O685:O688" ca="1" si="283">IF(L685&gt;0,N685*100/L685,0)</f>
        <v>13.893376413570275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6190</v>
      </c>
      <c r="M687" s="870">
        <f t="shared" si="285"/>
        <v>0</v>
      </c>
      <c r="N687" s="870">
        <f t="shared" si="285"/>
        <v>860</v>
      </c>
      <c r="O687" s="870">
        <f t="shared" ca="1" si="283"/>
        <v>13.893376413570275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6190</v>
      </c>
      <c r="M688" s="864">
        <f t="shared" si="286"/>
        <v>0</v>
      </c>
      <c r="N688" s="864">
        <f t="shared" si="286"/>
        <v>860</v>
      </c>
      <c r="O688" s="864">
        <f t="shared" ca="1" si="283"/>
        <v>13.893376413570275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IFERROR(__xludf.DUMMYFUNCTION("IMPORTRANGE(""https://docs.google.com/spreadsheets/d/1QqKyyYR6Q21VydFLVH3TRQUabQu_ym0Zz7PgGX0-kHA/edit?usp=sharing"",""แผน!HW47"")"),6190)</f>
        <v>6190</v>
      </c>
      <c r="M690" s="870">
        <v>0</v>
      </c>
      <c r="N690" s="870">
        <f>N691+N692+N693+N694</f>
        <v>860</v>
      </c>
      <c r="O690" s="870">
        <f ca="1">IF(L690&gt;0,N690*100/L690,0)</f>
        <v>13.893376413570275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860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IFERROR(__xludf.DUMMYFUNCTION("IMPORTRANGE(""https://docs.google.com/spreadsheets/d/1QqKyyYR6Q21VydFLVH3TRQUabQu_ym0Zz7PgGX0-kHA/edit?usp=sharing"",""แผน!IC47"")"),0)</f>
        <v>0</v>
      </c>
      <c r="J699" s="863">
        <f ca="1">IFERROR(__xludf.DUMMYFUNCTION("IMPORTRANGE(""https://docs.google.com/spreadsheets/d/1XWAQStnk-4SwqDmLtmXYiTMKHgktTP8We1SCoS47DrQ/edit?usp=sharing"",""จัดที่ดิน!BB47"")"),0)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IFERROR(__xludf.DUMMYFUNCTION("IMPORTRANGE(""https://docs.google.com/spreadsheets/d/1QqKyyYR6Q21VydFLVH3TRQUabQu_ym0Zz7PgGX0-kHA/edit?usp=sharing"",""แผน!ID47"")"),0)</f>
        <v>0</v>
      </c>
      <c r="J700" s="863">
        <f ca="1">IFERROR(__xludf.DUMMYFUNCTION("IMPORTRANGE(""https://docs.google.com/spreadsheets/d/1XWAQStnk-4SwqDmLtmXYiTMKHgktTP8We1SCoS47DrQ/edit?usp=sharing"",""จัดที่ดิน!BD47"")"),0)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IFERROR(__xludf.DUMMYFUNCTION("IMPORTRANGE(""https://docs.google.com/spreadsheets/d/1QqKyyYR6Q21VydFLVH3TRQUabQu_ym0Zz7PgGX0-kHA/edit?usp=sharing"",""แผน!IE47"")"),20)</f>
        <v>20</v>
      </c>
      <c r="J701" s="999">
        <f>J704+J707</f>
        <v>48.95</v>
      </c>
      <c r="K701" s="1000">
        <f t="shared" ca="1" si="290"/>
        <v>244.75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2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3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IFERROR(__xludf.DUMMYFUNCTION("IMPORTRANGE(""https://docs.google.com/spreadsheets/d/1QqKyyYR6Q21VydFLVH3TRQUabQu_ym0Zz7PgGX0-kHA/edit?usp=sharing"",""แผน!IF47"")"),20)</f>
        <v>20</v>
      </c>
      <c r="J704" s="992">
        <v>48.95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/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IFERROR(__xludf.DUMMYFUNCTION("IMPORTRANGE(""https://docs.google.com/spreadsheets/d/1QqKyyYR6Q21VydFLVH3TRQUabQu_ym0Zz7PgGX0-kHA/edit?usp=sharing"",""แผน!IG47"")"),0)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IFERROR(__xludf.DUMMYFUNCTION("IMPORTRANGE(""https://docs.google.com/spreadsheets/d/1QqKyyYR6Q21VydFLVH3TRQUabQu_ym0Zz7PgGX0-kHA/edit?usp=sharing"",""แผน!IH47"")"),0)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IFERROR(__xludf.DUMMYFUNCTION("IMPORTRANGE(""https://docs.google.com/spreadsheets/d/1XWAQStnk-4SwqDmLtmXYiTMKHgktTP8We1SCoS47DrQ/edit?usp=sharing"",""จัดที่ดิน!BF47"")"),0)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IFERROR(__xludf.DUMMYFUNCTION("IMPORTRANGE(""https://docs.google.com/spreadsheets/d/1XWAQStnk-4SwqDmLtmXYiTMKHgktTP8We1SCoS47DrQ/edit?usp=sharing"",""จัดที่ดิน!BG47"")"),0)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IFERROR(__xludf.DUMMYFUNCTION("IMPORTRANGE(""https://docs.google.com/spreadsheets/d/1QqKyyYR6Q21VydFLVH3TRQUabQu_ym0Zz7PgGX0-kHA/edit?usp=sharing"",""แผน!II47"")"),77)</f>
        <v>77</v>
      </c>
      <c r="J720" s="863">
        <f ca="1">IFERROR(__xludf.DUMMYFUNCTION("IMPORTRANGE(""https://docs.google.com/spreadsheets/d/1XWAQStnk-4SwqDmLtmXYiTMKHgktTP8We1SCoS47DrQ/edit?usp=sharing"",""จัดที่ดิน!BH47"")"),0)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IFERROR(__xludf.DUMMYFUNCTION("IMPORTRANGE(""https://docs.google.com/spreadsheets/d/1QqKyyYR6Q21VydFLVH3TRQUabQu_ym0Zz7PgGX0-kHA/edit?usp=sharing"",""แผน!IJ47"")"),4)</f>
        <v>4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IFERROR(__xludf.DUMMYFUNCTION("IMPORTRANGE(""https://docs.google.com/spreadsheets/d/1QqKyyYR6Q21VydFLVH3TRQUabQu_ym0Zz7PgGX0-kHA/edit?usp=sharing"",""แผน!IK47"")"),40)</f>
        <v>40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IFERROR(__xludf.DUMMYFUNCTION("IMPORTRANGE(""https://docs.google.com/spreadsheets/d/1QqKyyYR6Q21VydFLVH3TRQUabQu_ym0Zz7PgGX0-kHA/edit?usp=sharing"",""แผน!IL47"")"),2)</f>
        <v>2</v>
      </c>
      <c r="J723" s="863">
        <f ca="1">IFERROR(__xludf.DUMMYFUNCTION("IMPORTRANGE(""https://docs.google.com/spreadsheets/d/1XWAQStnk-4SwqDmLtmXYiTMKHgktTP8We1SCoS47DrQ/edit?usp=sharing"",""จัดที่ดิน!BM47"")"),0)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IFERROR(__xludf.DUMMYFUNCTION("IMPORTRANGE(""https://docs.google.com/spreadsheets/d/1XWAQStnk-4SwqDmLtmXYiTMKHgktTP8We1SCoS47DrQ/edit?usp=sharing"",""จัดที่ดิน!BN47"")"),0)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IFERROR(__xludf.DUMMYFUNCTION("IMPORTRANGE(""https://docs.google.com/spreadsheets/d/1QqKyyYR6Q21VydFLVH3TRQUabQu_ym0Zz7PgGX0-kHA/edit?usp=sharing"",""แผน!IM47"")"),20)</f>
        <v>20</v>
      </c>
      <c r="J725" s="863">
        <f ca="1">IFERROR(__xludf.DUMMYFUNCTION("IMPORTRANGE(""https://docs.google.com/spreadsheets/d/1XWAQStnk-4SwqDmLtmXYiTMKHgktTP8We1SCoS47DrQ/edit?usp=sharing"",""จัดที่ดิน!BO47"")"),0)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IFERROR(__xludf.DUMMYFUNCTION("IMPORTRANGE(""https://docs.google.com/spreadsheets/d/1QqKyyYR6Q21VydFLVH3TRQUabQu_ym0Zz7PgGX0-kHA/edit?usp=sharing"",""แผน!IN47"")"),2)</f>
        <v>2</v>
      </c>
      <c r="J726" s="863">
        <f ca="1">IFERROR(__xludf.DUMMYFUNCTION("IMPORTRANGE(""https://docs.google.com/spreadsheets/d/1XWAQStnk-4SwqDmLtmXYiTMKHgktTP8We1SCoS47DrQ/edit?usp=sharing"",""จัดที่ดิน!BR47"")"),0)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IFERROR(__xludf.DUMMYFUNCTION("IMPORTRANGE(""https://docs.google.com/spreadsheets/d/1XWAQStnk-4SwqDmLtmXYiTMKHgktTP8We1SCoS47DrQ/edit?usp=sharing"",""จัดที่ดิน!BS47"")"),0)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IFERROR(__xludf.DUMMYFUNCTION("IMPORTRANGE(""https://docs.google.com/spreadsheets/d/1QqKyyYR6Q21VydFLVH3TRQUabQu_ym0Zz7PgGX0-kHA/edit?usp=sharing"",""แผน!IO47"")"),20)</f>
        <v>20</v>
      </c>
      <c r="J728" s="863">
        <f ca="1">IFERROR(__xludf.DUMMYFUNCTION("IMPORTRANGE(""https://docs.google.com/spreadsheets/d/1XWAQStnk-4SwqDmLtmXYiTMKHgktTP8We1SCoS47DrQ/edit?usp=sharing"",""จัดที่ดิน!BT47"")"),0)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IFERROR(__xludf.DUMMYFUNCTION("IMPORTRANGE(""https://docs.google.com/spreadsheets/d/1QqKyyYR6Q21VydFLVH3TRQUabQu_ym0Zz7PgGX0-kHA/edit?usp=sharing"",""แผน!IP47"")"),0)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IFERROR(__xludf.DUMMYFUNCTION("IMPORTRANGE(""https://docs.google.com/spreadsheets/d/1QqKyyYR6Q21VydFLVH3TRQUabQu_ym0Zz7PgGX0-kHA/edit?usp=sharing"",""แผน!JJ47"")"),0)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IFERROR(__xludf.DUMMYFUNCTION("IMPORTRANGE(""https://docs.google.com/spreadsheets/d/1QqKyyYR6Q21VydFLVH3TRQUabQu_ym0Zz7PgGX0-kHA/edit?usp=sharing"",""แผน!JN47"")"),0)</f>
        <v>0</v>
      </c>
      <c r="J800" s="977">
        <f ca="1">IFERROR(__xludf.DUMMYFUNCTION("IMPORTRANGE(""https://docs.google.com/spreadsheets/d/1MaWodYyGHDf7siQLGxnXhG4mBNTNIuy296niS2xXulU/edit?usp=sharing"",""RTK!H47"")"),0)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IFERROR(__xludf.DUMMYFUNCTION("IMPORTRANGE(""https://docs.google.com/spreadsheets/d/1MaWodYyGHDf7siQLGxnXhG4mBNTNIuy296niS2xXulU/edit?usp=sharing"",""RTK!I47"")"),0)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863">
        <f ca="1">IFERROR(__xludf.DUMMYFUNCTION("IMPORTRANGE(""https://docs.google.com/spreadsheets/d/19vJNZY_5yjcGF2XGBMNZRCAIB0Kwfpjp8YEOfu-bneM/edit?usp=sharing"",""งานกองทุน!F47"")"),945895.54)</f>
        <v>945895.54</v>
      </c>
      <c r="K821" s="864">
        <f t="shared" ref="K821:K828" ca="1" si="335">IF(I821&gt;0,J821*100/I821,0)</f>
        <v>25.399650781752925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IFERROR(__xludf.DUMMYFUNCTION("IMPORTRANGE(""https://docs.google.com/spreadsheets/d/19vJNZY_5yjcGF2XGBMNZRCAIB0Kwfpjp8YEOfu-bneM/edit?usp=sharing"",""งานกองทุน!C47"")"),342)</f>
        <v>342</v>
      </c>
      <c r="J822" s="863">
        <f ca="1">IFERROR(__xludf.DUMMYFUNCTION("IMPORTRANGE(""https://docs.google.com/spreadsheets/d/19vJNZY_5yjcGF2XGBMNZRCAIB0Kwfpjp8YEOfu-bneM/edit?usp=sharing"",""งานกองทุน!E47"")"),98)</f>
        <v>98</v>
      </c>
      <c r="K822" s="864">
        <f t="shared" ca="1" si="335"/>
        <v>28.654970760233919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863">
        <f ca="1">IFERROR(__xludf.DUMMYFUNCTION("IMPORTRANGE(""https://docs.google.com/spreadsheets/d/19vJNZY_5yjcGF2XGBMNZRCAIB0Kwfpjp8YEOfu-bneM/edit?usp=sharing"",""งานกองทุน!K47"")"),234309.08)</f>
        <v>234309.08</v>
      </c>
      <c r="K823" s="864">
        <f t="shared" ca="1" si="335"/>
        <v>42.581069542677774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IFERROR(__xludf.DUMMYFUNCTION("IMPORTRANGE(""https://docs.google.com/spreadsheets/d/19vJNZY_5yjcGF2XGBMNZRCAIB0Kwfpjp8YEOfu-bneM/edit?usp=sharing"",""งานกองทุน!H47"")"),38)</f>
        <v>38</v>
      </c>
      <c r="J824" s="863">
        <f ca="1">IFERROR(__xludf.DUMMYFUNCTION("IMPORTRANGE(""https://docs.google.com/spreadsheets/d/19vJNZY_5yjcGF2XGBMNZRCAIB0Kwfpjp8YEOfu-bneM/edit?usp=sharing"",""งานกองทุน!J47"")"),25)</f>
        <v>25</v>
      </c>
      <c r="K824" s="864">
        <f t="shared" ca="1" si="335"/>
        <v>65.78947368421052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863">
        <f ca="1">IFERROR(__xludf.DUMMYFUNCTION("IMPORTRANGE(""https://docs.google.com/spreadsheets/d/19vJNZY_5yjcGF2XGBMNZRCAIB0Kwfpjp8YEOfu-bneM/edit?usp=sharing"",""งานกองทุน!P47"")"),349896.15)</f>
        <v>349896.15</v>
      </c>
      <c r="K825" s="864">
        <f t="shared" ca="1" si="335"/>
        <v>54.846179618245699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IFERROR(__xludf.DUMMYFUNCTION("IMPORTRANGE(""https://docs.google.com/spreadsheets/d/19vJNZY_5yjcGF2XGBMNZRCAIB0Kwfpjp8YEOfu-bneM/edit?usp=sharing"",""งานกองทุน!M47"")"),74)</f>
        <v>74</v>
      </c>
      <c r="J826" s="863">
        <f ca="1">IFERROR(__xludf.DUMMYFUNCTION("IMPORTRANGE(""https://docs.google.com/spreadsheets/d/19vJNZY_5yjcGF2XGBMNZRCAIB0Kwfpjp8YEOfu-bneM/edit?usp=sharing"",""งานกองทุน!O47"")"),66)</f>
        <v>66</v>
      </c>
      <c r="K826" s="864">
        <f t="shared" ca="1" si="335"/>
        <v>89.189189189189193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IFERROR(__xludf.DUMMYFUNCTION("IMPORTRANGE(""https://docs.google.com/spreadsheets/d/19vJNZY_5yjcGF2XGBMNZRCAIB0Kwfpjp8YEOfu-bneM/edit?usp=sharing"",""งานกองทุน!S47"")"),4200000)</f>
        <v>4200000</v>
      </c>
      <c r="J827" s="863">
        <f ca="1">IFERROR(__xludf.DUMMYFUNCTION("IMPORTRANGE(""https://docs.google.com/spreadsheets/d/19vJNZY_5yjcGF2XGBMNZRCAIB0Kwfpjp8YEOfu-bneM/edit?usp=sharing"",""งานกองทุน!U47"")"),480000)</f>
        <v>480000</v>
      </c>
      <c r="K827" s="864">
        <f t="shared" ca="1" si="335"/>
        <v>11.428571428571429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IFERROR(__xludf.DUMMYFUNCTION("IMPORTRANGE(""https://docs.google.com/spreadsheets/d/19vJNZY_5yjcGF2XGBMNZRCAIB0Kwfpjp8YEOfu-bneM/edit?usp=sharing"",""งานกองทุน!R47"")"),115)</f>
        <v>115</v>
      </c>
      <c r="J828" s="1117">
        <f ca="1">IFERROR(__xludf.DUMMYFUNCTION("IMPORTRANGE(""https://docs.google.com/spreadsheets/d/19vJNZY_5yjcGF2XGBMNZRCAIB0Kwfpjp8YEOfu-bneM/edit?usp=sharing"",""งานกองทุน!T47"")"),12)</f>
        <v>12</v>
      </c>
      <c r="K828" s="1215">
        <f t="shared" ca="1" si="335"/>
        <v>10.434782608695652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D54E-B73F-4407-AD13-DCE5E3D14303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354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8450788</v>
      </c>
      <c r="M8" s="850">
        <f t="shared" ca="1" si="0"/>
        <v>4947127</v>
      </c>
      <c r="N8" s="850">
        <f t="shared" ca="1" si="0"/>
        <v>2972609.21</v>
      </c>
      <c r="O8" s="850">
        <f t="shared" ref="O8:O16" ca="1" si="1">IF(L8&gt;0,N8*100/L8,0)</f>
        <v>35.175526944942888</v>
      </c>
      <c r="P8" s="850">
        <f t="shared" ref="P8:P16" ca="1" si="2">IF(M8&gt;0,N8*100/M8,0)</f>
        <v>60.087586391050806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8450788</v>
      </c>
      <c r="M10" s="857">
        <f t="shared" ca="1" si="3"/>
        <v>4947127</v>
      </c>
      <c r="N10" s="857">
        <f t="shared" ca="1" si="3"/>
        <v>2972609.21</v>
      </c>
      <c r="O10" s="857">
        <f t="shared" ca="1" si="1"/>
        <v>35.175526944942888</v>
      </c>
      <c r="P10" s="857">
        <f t="shared" ca="1" si="2"/>
        <v>60.087586391050806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6530288</v>
      </c>
      <c r="M11" s="864">
        <f t="shared" ca="1" si="4"/>
        <v>3027142</v>
      </c>
      <c r="N11" s="864">
        <f t="shared" ca="1" si="4"/>
        <v>2559624.21</v>
      </c>
      <c r="O11" s="864">
        <f t="shared" ca="1" si="1"/>
        <v>39.196191806548192</v>
      </c>
      <c r="P11" s="864">
        <f t="shared" ca="1" si="2"/>
        <v>84.555802469788333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6530288</v>
      </c>
      <c r="M13" s="870">
        <f t="shared" ca="1" si="5"/>
        <v>3027142</v>
      </c>
      <c r="N13" s="870">
        <f t="shared" ca="1" si="5"/>
        <v>2559624.21</v>
      </c>
      <c r="O13" s="870">
        <f t="shared" ca="1" si="1"/>
        <v>39.196191806548192</v>
      </c>
      <c r="P13" s="870">
        <f t="shared" ca="1" si="2"/>
        <v>84.555802469788333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1920500</v>
      </c>
      <c r="M14" s="864">
        <f t="shared" ca="1" si="6"/>
        <v>1919985</v>
      </c>
      <c r="N14" s="864">
        <f t="shared" ca="1" si="6"/>
        <v>412985</v>
      </c>
      <c r="O14" s="864">
        <f t="shared" ca="1" si="1"/>
        <v>21.504035407445979</v>
      </c>
      <c r="P14" s="864">
        <f t="shared" ca="1" si="2"/>
        <v>21.509803462006214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1920500</v>
      </c>
      <c r="M16" s="876">
        <f t="shared" ca="1" si="7"/>
        <v>1919985</v>
      </c>
      <c r="N16" s="876">
        <f t="shared" ca="1" si="7"/>
        <v>412985</v>
      </c>
      <c r="O16" s="876">
        <f t="shared" ca="1" si="1"/>
        <v>21.504035407445979</v>
      </c>
      <c r="P16" s="876">
        <f t="shared" ca="1" si="2"/>
        <v>21.509803462006214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5574212</v>
      </c>
      <c r="M18" s="850">
        <f t="shared" ca="1" si="8"/>
        <v>4947127</v>
      </c>
      <c r="N18" s="850">
        <f t="shared" ca="1" si="8"/>
        <v>2117087.63</v>
      </c>
      <c r="O18" s="850">
        <f t="shared" ref="O18:O26" ca="1" si="9">IF(L18&gt;0,N18*100/L18,0)</f>
        <v>37.980034307988284</v>
      </c>
      <c r="P18" s="850">
        <f t="shared" ref="P18:P26" ca="1" si="10">IF(M18&gt;0,N18*100/M18,0)</f>
        <v>42.794285046654352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5574212</v>
      </c>
      <c r="M20" s="857">
        <f t="shared" ca="1" si="11"/>
        <v>4947127</v>
      </c>
      <c r="N20" s="857">
        <f t="shared" ca="1" si="11"/>
        <v>2117087.63</v>
      </c>
      <c r="O20" s="857">
        <f t="shared" ca="1" si="9"/>
        <v>37.980034307988284</v>
      </c>
      <c r="P20" s="857">
        <f t="shared" ca="1" si="10"/>
        <v>42.794285046654352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3653712</v>
      </c>
      <c r="M21" s="864">
        <f t="shared" ca="1" si="12"/>
        <v>3027142</v>
      </c>
      <c r="N21" s="864">
        <f t="shared" ca="1" si="12"/>
        <v>1704102.63</v>
      </c>
      <c r="O21" s="864">
        <f t="shared" ca="1" si="9"/>
        <v>46.640310730566611</v>
      </c>
      <c r="P21" s="864">
        <f t="shared" ca="1" si="10"/>
        <v>56.294109427308001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3653712</v>
      </c>
      <c r="M23" s="870">
        <f t="shared" ca="1" si="13"/>
        <v>3027142</v>
      </c>
      <c r="N23" s="870">
        <f t="shared" ca="1" si="13"/>
        <v>1704102.63</v>
      </c>
      <c r="O23" s="870">
        <f t="shared" ca="1" si="9"/>
        <v>46.640310730566611</v>
      </c>
      <c r="P23" s="870">
        <f t="shared" ca="1" si="10"/>
        <v>56.294109427308001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1920500</v>
      </c>
      <c r="M24" s="864">
        <f t="shared" ca="1" si="14"/>
        <v>1919985</v>
      </c>
      <c r="N24" s="864">
        <f t="shared" ca="1" si="14"/>
        <v>412985</v>
      </c>
      <c r="O24" s="864">
        <f t="shared" ca="1" si="9"/>
        <v>21.504035407445979</v>
      </c>
      <c r="P24" s="864">
        <f t="shared" ca="1" si="10"/>
        <v>21.509803462006214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1920500</v>
      </c>
      <c r="M26" s="876">
        <f t="shared" ca="1" si="15"/>
        <v>1919985</v>
      </c>
      <c r="N26" s="876">
        <f t="shared" ca="1" si="15"/>
        <v>412985</v>
      </c>
      <c r="O26" s="876">
        <f t="shared" ca="1" si="9"/>
        <v>21.504035407445979</v>
      </c>
      <c r="P26" s="876">
        <f t="shared" ca="1" si="10"/>
        <v>21.509803462006214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2876576</v>
      </c>
      <c r="M28" s="850">
        <f t="shared" si="16"/>
        <v>0</v>
      </c>
      <c r="N28" s="850">
        <f t="shared" si="16"/>
        <v>855521.58</v>
      </c>
      <c r="O28" s="850">
        <f t="shared" ref="O28:O37" ca="1" si="17">IF(L28&gt;0,N28*100/L28,0)</f>
        <v>29.740969124403456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2876576</v>
      </c>
      <c r="M30" s="857">
        <f t="shared" si="19"/>
        <v>0</v>
      </c>
      <c r="N30" s="857">
        <f t="shared" si="19"/>
        <v>855521.58</v>
      </c>
      <c r="O30" s="857">
        <f t="shared" ca="1" si="17"/>
        <v>29.740969124403456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2876576</v>
      </c>
      <c r="M31" s="864">
        <f t="shared" si="20"/>
        <v>0</v>
      </c>
      <c r="N31" s="864">
        <f t="shared" si="20"/>
        <v>855521.58</v>
      </c>
      <c r="O31" s="864">
        <f t="shared" ca="1" si="17"/>
        <v>29.740969124403456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2876576</v>
      </c>
      <c r="M33" s="870">
        <f t="shared" si="21"/>
        <v>0</v>
      </c>
      <c r="N33" s="870">
        <f t="shared" si="21"/>
        <v>855521.58</v>
      </c>
      <c r="O33" s="870">
        <f t="shared" ca="1" si="17"/>
        <v>29.740969124403456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5574212</v>
      </c>
      <c r="M37" s="883">
        <f t="shared" ca="1" si="24"/>
        <v>4947127</v>
      </c>
      <c r="N37" s="883">
        <f t="shared" ca="1" si="24"/>
        <v>2117087.63</v>
      </c>
      <c r="O37" s="883">
        <f t="shared" ca="1" si="17"/>
        <v>37.980034307988284</v>
      </c>
      <c r="P37" s="883">
        <f t="shared" ca="1" si="18"/>
        <v>42.794285046654352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720442</v>
      </c>
      <c r="M41" s="908">
        <f t="shared" ca="1" si="25"/>
        <v>730372</v>
      </c>
      <c r="N41" s="908">
        <f t="shared" ca="1" si="25"/>
        <v>327400</v>
      </c>
      <c r="O41" s="908">
        <f t="shared" ref="O41:O49" ca="1" si="26">IF(L41&gt;0,N41*100/L41,0)</f>
        <v>45.444324456375391</v>
      </c>
      <c r="P41" s="908">
        <f t="shared" ref="P41:P49" ca="1" si="27">IF(M41&gt;0,N41*100/M41,0)</f>
        <v>44.826471989616252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720442</v>
      </c>
      <c r="M43" s="914">
        <f t="shared" ca="1" si="28"/>
        <v>730372</v>
      </c>
      <c r="N43" s="914">
        <f t="shared" ca="1" si="28"/>
        <v>327400</v>
      </c>
      <c r="O43" s="914">
        <f t="shared" ca="1" si="26"/>
        <v>45.444324456375391</v>
      </c>
      <c r="P43" s="914">
        <f t="shared" ca="1" si="27"/>
        <v>44.826471989616252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720442</v>
      </c>
      <c r="M44" s="864">
        <f t="shared" ca="1" si="29"/>
        <v>730372</v>
      </c>
      <c r="N44" s="864">
        <f t="shared" ca="1" si="29"/>
        <v>327400</v>
      </c>
      <c r="O44" s="864">
        <f t="shared" ca="1" si="26"/>
        <v>45.444324456375391</v>
      </c>
      <c r="P44" s="864">
        <f t="shared" ca="1" si="27"/>
        <v>44.826471989616252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IFERROR(__xludf.DUMMYFUNCTION("IMPORTRANGE(""https://docs.google.com/spreadsheets/d/1MeEWN-I1oV_STSDYn1IFDPWt_1FKiwhDph83XaGc0o0/edit?usp=sharing"",""งบพรบ!M48"")"),720442)</f>
        <v>720442</v>
      </c>
      <c r="M46" s="870">
        <f ca="1">IFERROR(__xludf.DUMMYFUNCTION("IMPORTRANGE(""https://docs.google.com/spreadsheets/d/1MeEWN-I1oV_STSDYn1IFDPWt_1FKiwhDph83XaGc0o0/edit?usp=sharing"",""งบพรบ!R48"")"),730372)</f>
        <v>730372</v>
      </c>
      <c r="N46" s="870">
        <f ca="1">IFERROR(__xludf.DUMMYFUNCTION("IMPORTRANGE(""https://docs.google.com/spreadsheets/d/1MeEWN-I1oV_STSDYn1IFDPWt_1FKiwhDph83XaGc0o0/edit?usp=sharing"",""งบพรบ!T48"")"),327400)</f>
        <v>327400</v>
      </c>
      <c r="O46" s="870">
        <f t="shared" ca="1" si="26"/>
        <v>45.444324456375391</v>
      </c>
      <c r="P46" s="870">
        <f t="shared" ca="1" si="27"/>
        <v>44.826471989616252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IFERROR(__xludf.DUMMYFUNCTION("IMPORTRANGE(""https://docs.google.com/spreadsheets/d/1MeEWN-I1oV_STSDYn1IFDPWt_1FKiwhDph83XaGc0o0/edit?usp=sharing"",""งบพรบ!P48"")"),0)</f>
        <v>0</v>
      </c>
      <c r="M49" s="876">
        <f ca="1">IFERROR(__xludf.DUMMYFUNCTION("IMPORTRANGE(""https://docs.google.com/spreadsheets/d/1MeEWN-I1oV_STSDYn1IFDPWt_1FKiwhDph83XaGc0o0/edit?usp=sharing"",""งบพรบ!S48"")"),0)</f>
        <v>0</v>
      </c>
      <c r="N49" s="876">
        <f ca="1">IFERROR(__xludf.DUMMYFUNCTION("IMPORTRANGE(""https://docs.google.com/spreadsheets/d/1MeEWN-I1oV_STSDYn1IFDPWt_1FKiwhDph83XaGc0o0/edit?usp=sharing"",""งบพรบ!U48"")"),0)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2260500</v>
      </c>
      <c r="M53" s="936">
        <f t="shared" ca="1" si="31"/>
        <v>2153620</v>
      </c>
      <c r="N53" s="936">
        <f t="shared" ca="1" si="31"/>
        <v>416107.52000000002</v>
      </c>
      <c r="O53" s="936">
        <f t="shared" ref="O53:O61" ca="1" si="32">IF(L53&gt;0,N53*100/L53,0)</f>
        <v>18.407764653837646</v>
      </c>
      <c r="P53" s="936">
        <f t="shared" ref="P53:P61" ca="1" si="33">IF(M53&gt;0,N53*100/M53,0)</f>
        <v>19.321306451463119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2260500</v>
      </c>
      <c r="M55" s="942">
        <f t="shared" ca="1" si="34"/>
        <v>2153620</v>
      </c>
      <c r="N55" s="942">
        <f t="shared" ca="1" si="34"/>
        <v>416107.52000000002</v>
      </c>
      <c r="O55" s="942">
        <f t="shared" ca="1" si="32"/>
        <v>18.407764653837646</v>
      </c>
      <c r="P55" s="942">
        <f t="shared" ca="1" si="33"/>
        <v>19.321306451463119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652000</v>
      </c>
      <c r="M56" s="864">
        <f t="shared" ca="1" si="35"/>
        <v>545620</v>
      </c>
      <c r="N56" s="864">
        <f t="shared" ca="1" si="35"/>
        <v>315107.52</v>
      </c>
      <c r="O56" s="864">
        <f t="shared" ca="1" si="32"/>
        <v>48.329374233128831</v>
      </c>
      <c r="P56" s="864">
        <f t="shared" ca="1" si="33"/>
        <v>57.752193834536854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IFERROR(__xludf.DUMMYFUNCTION("IMPORTRANGE(""https://docs.google.com/spreadsheets/d/1MeEWN-I1oV_STSDYn1IFDPWt_1FKiwhDph83XaGc0o0/edit?usp=sharing"",""งบพรบ!W48"")"),652000)</f>
        <v>652000</v>
      </c>
      <c r="M58" s="870">
        <f ca="1">IFERROR(__xludf.DUMMYFUNCTION("IMPORTRANGE(""https://docs.google.com/spreadsheets/d/1MeEWN-I1oV_STSDYn1IFDPWt_1FKiwhDph83XaGc0o0/edit?usp=sharing"",""งบพรบ!AB48"")"),545620)</f>
        <v>545620</v>
      </c>
      <c r="N58" s="870">
        <f ca="1">IFERROR(__xludf.DUMMYFUNCTION("IMPORTRANGE(""https://docs.google.com/spreadsheets/d/1MeEWN-I1oV_STSDYn1IFDPWt_1FKiwhDph83XaGc0o0/edit?usp=sharing"",""งบพรบ!AD48"")"),315107.52)</f>
        <v>315107.52</v>
      </c>
      <c r="O58" s="870">
        <f t="shared" ca="1" si="32"/>
        <v>48.329374233128831</v>
      </c>
      <c r="P58" s="870">
        <f t="shared" ca="1" si="33"/>
        <v>57.752193834536854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1608500</v>
      </c>
      <c r="M59" s="864">
        <f t="shared" ca="1" si="36"/>
        <v>1608000</v>
      </c>
      <c r="N59" s="864">
        <f t="shared" ca="1" si="36"/>
        <v>101000</v>
      </c>
      <c r="O59" s="864">
        <f t="shared" ca="1" si="32"/>
        <v>6.2791420578178423</v>
      </c>
      <c r="P59" s="864">
        <f t="shared" ca="1" si="33"/>
        <v>6.2810945273631837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IFERROR(__xludf.DUMMYFUNCTION("IMPORTRANGE(""https://docs.google.com/spreadsheets/d/1MeEWN-I1oV_STSDYn1IFDPWt_1FKiwhDph83XaGc0o0/edit?usp=sharing"",""งบพรบ!Z48"")"),1608500)</f>
        <v>1608500</v>
      </c>
      <c r="M61" s="876">
        <f ca="1">IFERROR(__xludf.DUMMYFUNCTION("IMPORTRANGE(""https://docs.google.com/spreadsheets/d/1MeEWN-I1oV_STSDYn1IFDPWt_1FKiwhDph83XaGc0o0/edit?usp=sharing"",""งบพรบ!AC48"")"),1608000)</f>
        <v>1608000</v>
      </c>
      <c r="N61" s="876">
        <f ca="1">IFERROR(__xludf.DUMMYFUNCTION("IMPORTRANGE(""https://docs.google.com/spreadsheets/d/1MeEWN-I1oV_STSDYn1IFDPWt_1FKiwhDph83XaGc0o0/edit?usp=sharing"",""งบพรบ!AE48"")"),101000)</f>
        <v>101000</v>
      </c>
      <c r="O61" s="876">
        <f t="shared" ca="1" si="32"/>
        <v>6.2791420578178423</v>
      </c>
      <c r="P61" s="876">
        <f t="shared" ca="1" si="33"/>
        <v>6.2810945273631837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30</v>
      </c>
      <c r="J65" s="962">
        <f t="shared" si="37"/>
        <v>30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384000</v>
      </c>
      <c r="M66" s="972">
        <f t="shared" ca="1" si="39"/>
        <v>316620</v>
      </c>
      <c r="N66" s="972">
        <f t="shared" ca="1" si="39"/>
        <v>181356</v>
      </c>
      <c r="O66" s="972">
        <f t="shared" ref="O66:O74" ca="1" si="40">IF(L66&gt;0,N66*100/L66,0)</f>
        <v>47.228124999999999</v>
      </c>
      <c r="P66" s="972">
        <f t="shared" ref="P66:P74" ca="1" si="41">IF(M66&gt;0,N66*100/M66,0)</f>
        <v>57.278756869433387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384000</v>
      </c>
      <c r="M68" s="870">
        <f t="shared" ca="1" si="42"/>
        <v>316620</v>
      </c>
      <c r="N68" s="870">
        <f t="shared" ca="1" si="42"/>
        <v>181356</v>
      </c>
      <c r="O68" s="870">
        <f t="shared" ca="1" si="40"/>
        <v>47.228124999999999</v>
      </c>
      <c r="P68" s="870">
        <f t="shared" ca="1" si="41"/>
        <v>57.278756869433387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384000</v>
      </c>
      <c r="M69" s="864">
        <f t="shared" ca="1" si="43"/>
        <v>316620</v>
      </c>
      <c r="N69" s="864">
        <f t="shared" ca="1" si="43"/>
        <v>181356</v>
      </c>
      <c r="O69" s="864">
        <f t="shared" ca="1" si="40"/>
        <v>47.228124999999999</v>
      </c>
      <c r="P69" s="864">
        <f t="shared" ca="1" si="41"/>
        <v>57.278756869433387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IFERROR(__xludf.DUMMYFUNCTION("IMPORTRANGE(""https://docs.google.com/spreadsheets/d/1MeEWN-I1oV_STSDYn1IFDPWt_1FKiwhDph83XaGc0o0/edit?usp=sharing"",""งบพรบ!AG48"")"),384000)</f>
        <v>384000</v>
      </c>
      <c r="M71" s="870">
        <f ca="1">IFERROR(__xludf.DUMMYFUNCTION("IMPORTRANGE(""https://docs.google.com/spreadsheets/d/1MeEWN-I1oV_STSDYn1IFDPWt_1FKiwhDph83XaGc0o0/edit?usp=sharing"",""งบพรบ!AL48"")"),316620)</f>
        <v>316620</v>
      </c>
      <c r="N71" s="870">
        <f ca="1">IFERROR(__xludf.DUMMYFUNCTION("IMPORTRANGE(""https://docs.google.com/spreadsheets/d/1MeEWN-I1oV_STSDYn1IFDPWt_1FKiwhDph83XaGc0o0/edit?usp=sharing"",""งบพรบ!AN48"")"),181356)</f>
        <v>181356</v>
      </c>
      <c r="O71" s="870">
        <f t="shared" ca="1" si="40"/>
        <v>47.228124999999999</v>
      </c>
      <c r="P71" s="870">
        <f t="shared" ca="1" si="41"/>
        <v>57.278756869433387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IFERROR(__xludf.DUMMYFUNCTION("IMPORTRANGE(""https://docs.google.com/spreadsheets/d/1MeEWN-I1oV_STSDYn1IFDPWt_1FKiwhDph83XaGc0o0/edit?usp=sharing"",""งบพรบ!AJ48"")"),0)</f>
        <v>0</v>
      </c>
      <c r="M74" s="870">
        <f ca="1">IFERROR(__xludf.DUMMYFUNCTION("IMPORTRANGE(""https://docs.google.com/spreadsheets/d/1MeEWN-I1oV_STSDYn1IFDPWt_1FKiwhDph83XaGc0o0/edit?usp=sharing"",""งบพรบ!AM48"")"),0)</f>
        <v>0</v>
      </c>
      <c r="N74" s="870">
        <f ca="1">IFERROR(__xludf.DUMMYFUNCTION("IMPORTRANGE(""https://docs.google.com/spreadsheets/d/1MeEWN-I1oV_STSDYn1IFDPWt_1FKiwhDph83XaGc0o0/edit?usp=sharing"",""งบพรบ!AO48"")"),0)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30</v>
      </c>
      <c r="J77" s="863">
        <f t="shared" si="45"/>
        <v>30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IFERROR(__xludf.DUMMYFUNCTION("IMPORTRANGE(""https://docs.google.com/spreadsheets/d/1QqKyyYR6Q21VydFLVH3TRQUabQu_ym0Zz7PgGX0-kHA/edit?usp=sharing"",""แผน!H48"")"),0)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IFERROR(__xludf.DUMMYFUNCTION("IMPORTRANGE(""https://docs.google.com/spreadsheets/d/1QqKyyYR6Q21VydFLVH3TRQUabQu_ym0Zz7PgGX0-kHA/edit?usp=sharing"",""แผน!I48"")"),0)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IFERROR(__xludf.DUMMYFUNCTION("IMPORTRANGE(""https://docs.google.com/spreadsheets/d/1QqKyyYR6Q21VydFLVH3TRQUabQu_ym0Zz7PgGX0-kHA/edit?usp=sharing"",""แผน!F48"")"),1)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IFERROR(__xludf.DUMMYFUNCTION("IMPORTRANGE(""https://docs.google.com/spreadsheets/d/1QqKyyYR6Q21VydFLVH3TRQUabQu_ym0Zz7PgGX0-kHA/edit?usp=sharing"",""แผน!G48"")"),30)</f>
        <v>30</v>
      </c>
      <c r="J81" s="992">
        <v>30</v>
      </c>
      <c r="K81" s="978">
        <f t="shared" ca="1" si="46"/>
        <v>100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IFERROR(__xludf.DUMMYFUNCTION("IMPORTRANGE(""https://docs.google.com/spreadsheets/d/1QqKyyYR6Q21VydFLVH3TRQUabQu_ym0Zz7PgGX0-kHA/edit?usp=sharing"",""แผน!D48"")"),0)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IFERROR(__xludf.DUMMYFUNCTION("IMPORTRANGE(""https://docs.google.com/spreadsheets/d/1QqKyyYR6Q21VydFLVH3TRQUabQu_ym0Zz7PgGX0-kHA/edit?usp=sharing"",""แผน!E48"")"),0)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IFERROR(__xludf.DUMMYFUNCTION("IMPORTRANGE(""https://docs.google.com/spreadsheets/d/1QqKyyYR6Q21VydFLVH3TRQUabQu_ym0Zz7PgGX0-kHA/edit?usp=sharing"",""แผน!J48"")"),1)</f>
        <v>1</v>
      </c>
      <c r="J84" s="992">
        <v>1</v>
      </c>
      <c r="K84" s="978">
        <f t="shared" ca="1" si="46"/>
        <v>100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0</v>
      </c>
      <c r="K86" s="963">
        <f t="shared" ref="K86:K87" ca="1" si="48">IF(I86&gt;0,J86*100/I86,0)</f>
        <v>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0</v>
      </c>
      <c r="K87" s="963">
        <f t="shared" ca="1" si="48"/>
        <v>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86040</v>
      </c>
      <c r="M88" s="972">
        <f t="shared" ca="1" si="49"/>
        <v>79340</v>
      </c>
      <c r="N88" s="972">
        <f t="shared" ca="1" si="49"/>
        <v>51304</v>
      </c>
      <c r="O88" s="972">
        <f t="shared" ref="O88:O96" ca="1" si="50">IF(L88&gt;0,N88*100/L88,0)</f>
        <v>59.628079962807995</v>
      </c>
      <c r="P88" s="972">
        <f t="shared" ref="P88:P96" ca="1" si="51">IF(M88&gt;0,N88*100/M88,0)</f>
        <v>64.663473657675823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86040</v>
      </c>
      <c r="M90" s="870">
        <f t="shared" ca="1" si="52"/>
        <v>79340</v>
      </c>
      <c r="N90" s="870">
        <f t="shared" ca="1" si="52"/>
        <v>51304</v>
      </c>
      <c r="O90" s="870">
        <f t="shared" ca="1" si="50"/>
        <v>59.628079962807995</v>
      </c>
      <c r="P90" s="870">
        <f t="shared" ca="1" si="51"/>
        <v>64.663473657675823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86040</v>
      </c>
      <c r="M91" s="864">
        <f t="shared" ca="1" si="53"/>
        <v>79340</v>
      </c>
      <c r="N91" s="864">
        <f t="shared" ca="1" si="53"/>
        <v>51304</v>
      </c>
      <c r="O91" s="864">
        <f t="shared" ca="1" si="50"/>
        <v>59.628079962807995</v>
      </c>
      <c r="P91" s="864">
        <f t="shared" ca="1" si="51"/>
        <v>64.663473657675823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IFERROR(__xludf.DUMMYFUNCTION("IMPORTRANGE(""https://docs.google.com/spreadsheets/d/1MeEWN-I1oV_STSDYn1IFDPWt_1FKiwhDph83XaGc0o0/edit?usp=sharing"",""งบพรบ!AQ48"")"),86040)</f>
        <v>86040</v>
      </c>
      <c r="M93" s="870">
        <f ca="1">IFERROR(__xludf.DUMMYFUNCTION("IMPORTRANGE(""https://docs.google.com/spreadsheets/d/1MeEWN-I1oV_STSDYn1IFDPWt_1FKiwhDph83XaGc0o0/edit?usp=sharing"",""งบพรบ!AV48"")"),79340)</f>
        <v>79340</v>
      </c>
      <c r="N93" s="870">
        <f ca="1">IFERROR(__xludf.DUMMYFUNCTION("IMPORTRANGE(""https://docs.google.com/spreadsheets/d/1MeEWN-I1oV_STSDYn1IFDPWt_1FKiwhDph83XaGc0o0/edit?usp=sharing"",""งบพรบ!AX48"")"),51304)</f>
        <v>51304</v>
      </c>
      <c r="O93" s="870">
        <f t="shared" ca="1" si="50"/>
        <v>59.628079962807995</v>
      </c>
      <c r="P93" s="870">
        <f t="shared" ca="1" si="51"/>
        <v>64.663473657675823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IFERROR(__xludf.DUMMYFUNCTION("IMPORTRANGE(""https://docs.google.com/spreadsheets/d/1MeEWN-I1oV_STSDYn1IFDPWt_1FKiwhDph83XaGc0o0/edit?usp=sharing"",""งบพรบ!AT48"")"),0)</f>
        <v>0</v>
      </c>
      <c r="M96" s="870">
        <f ca="1">IFERROR(__xludf.DUMMYFUNCTION("IMPORTRANGE(""https://docs.google.com/spreadsheets/d/1MeEWN-I1oV_STSDYn1IFDPWt_1FKiwhDph83XaGc0o0/edit?usp=sharing"",""งบพรบ!AW48"")"),0)</f>
        <v>0</v>
      </c>
      <c r="N96" s="870">
        <f ca="1">IFERROR(__xludf.DUMMYFUNCTION("IMPORTRANGE(""https://docs.google.com/spreadsheets/d/1MeEWN-I1oV_STSDYn1IFDPWt_1FKiwhDph83XaGc0o0/edit?usp=sharing"",""งบพรบ!AY48"")"),0)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IFERROR(__xludf.DUMMYFUNCTION("IMPORTRANGE(""https://docs.google.com/spreadsheets/d/1QqKyyYR6Q21VydFLVH3TRQUabQu_ym0Zz7PgGX0-kHA/edit?usp=sharing"",""แผน!K48"")"),30)</f>
        <v>30</v>
      </c>
      <c r="J98" s="863">
        <f>J102</f>
        <v>0</v>
      </c>
      <c r="K98" s="864">
        <f t="shared" ref="K98:K100" ca="1" si="55">IF(I98&gt;0,J98*100/I98,0)</f>
        <v>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IFERROR(__xludf.DUMMYFUNCTION("IMPORTRANGE(""https://docs.google.com/spreadsheets/d/1QqKyyYR6Q21VydFLVH3TRQUabQu_ym0Zz7PgGX0-kHA/edit?usp=sharing"",""แผน!L48"")"),10)</f>
        <v>10</v>
      </c>
      <c r="J99" s="863">
        <f>J104</f>
        <v>0</v>
      </c>
      <c r="K99" s="864">
        <f t="shared" ca="1" si="55"/>
        <v>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IFERROR(__xludf.DUMMYFUNCTION("IMPORTRANGE(""https://docs.google.com/spreadsheets/d/1QqKyyYR6Q21VydFLVH3TRQUabQu_ym0Zz7PgGX0-kHA/edit?usp=sharing"",""แผน!M48"")"),2)</f>
        <v>2</v>
      </c>
      <c r="J100" s="863">
        <f>J107+J110</f>
        <v>2</v>
      </c>
      <c r="K100" s="864">
        <f t="shared" ca="1" si="55"/>
        <v>100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IFERROR(__xludf.DUMMYFUNCTION("IMPORTRANGE(""https://docs.google.com/spreadsheets/d/1QqKyyYR6Q21VydFLVH3TRQUabQu_ym0Zz7PgGX0-kHA/edit?usp=sharing"",""แผน!N48"")"),30)</f>
        <v>30</v>
      </c>
      <c r="J102" s="992"/>
      <c r="K102" s="864">
        <f t="shared" ref="K102:K104" ca="1" si="56">IF(I102&gt;0,J102*100/I102,0)</f>
        <v>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IFERROR(__xludf.DUMMYFUNCTION("IMPORTRANGE(""https://docs.google.com/spreadsheets/d/1QqKyyYR6Q21VydFLVH3TRQUabQu_ym0Zz7PgGX0-kHA/edit?usp=sharing"",""แผน!O48"")"),10)</f>
        <v>10</v>
      </c>
      <c r="J103" s="992">
        <v>10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IFERROR(__xludf.DUMMYFUNCTION("IMPORTRANGE(""https://docs.google.com/spreadsheets/d/1QqKyyYR6Q21VydFLVH3TRQUabQu_ym0Zz7PgGX0-kHA/edit?usp=sharing"",""แผน!O48"")"),10)</f>
        <v>10</v>
      </c>
      <c r="J104" s="992">
        <v>0</v>
      </c>
      <c r="K104" s="864">
        <f t="shared" ca="1" si="56"/>
        <v>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IFERROR(__xludf.DUMMYFUNCTION("IMPORTRANGE(""https://docs.google.com/spreadsheets/d/1QqKyyYR6Q21VydFLVH3TRQUabQu_ym0Zz7PgGX0-kHA/edit?usp=sharing"",""แผน!P48"")"),1)</f>
        <v>1</v>
      </c>
      <c r="J106" s="992">
        <v>1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IFERROR(__xludf.DUMMYFUNCTION("IMPORTRANGE(""https://docs.google.com/spreadsheets/d/1QqKyyYR6Q21VydFLVH3TRQUabQu_ym0Zz7PgGX0-kHA/edit?usp=sharing"",""แผน!P48"")"),1)</f>
        <v>1</v>
      </c>
      <c r="J107" s="992">
        <v>1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IFERROR(__xludf.DUMMYFUNCTION("IMPORTRANGE(""https://docs.google.com/spreadsheets/d/1QqKyyYR6Q21VydFLVH3TRQUabQu_ym0Zz7PgGX0-kHA/edit?usp=sharing"",""แผน!Q48"")"),1)</f>
        <v>1</v>
      </c>
      <c r="J109" s="992">
        <v>1</v>
      </c>
      <c r="K109" s="864">
        <f t="shared" ref="K109:K116" ca="1" si="58">IF(I109&gt;0,J109*100/I109,0)</f>
        <v>100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IFERROR(__xludf.DUMMYFUNCTION("IMPORTRANGE(""https://docs.google.com/spreadsheets/d/1QqKyyYR6Q21VydFLVH3TRQUabQu_ym0Zz7PgGX0-kHA/edit?usp=sharing"",""แผน!Q48"")"),1)</f>
        <v>1</v>
      </c>
      <c r="J110" s="992">
        <v>1</v>
      </c>
      <c r="K110" s="864">
        <f t="shared" ca="1" si="58"/>
        <v>100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IFERROR(__xludf.DUMMYFUNCTION("IMPORTRANGE(""https://docs.google.com/spreadsheets/d/1QqKyyYR6Q21VydFLVH3TRQUabQu_ym0Zz7PgGX0-kHA/edit?usp=sharing"",""แผน!R48"")"),10)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IFERROR(__xludf.DUMMYFUNCTION("IMPORTRANGE(""https://docs.google.com/spreadsheets/d/1QqKyyYR6Q21VydFLVH3TRQUabQu_ym0Zz7PgGX0-kHA/edit?usp=sharing"",""แผน!R48"")"),10)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IFERROR(__xludf.DUMMYFUNCTION("IMPORTRANGE(""https://docs.google.com/spreadsheets/d/1QqKyyYR6Q21VydFLVH3TRQUabQu_ym0Zz7PgGX0-kHA/edit?usp=sharing"",""แผน!R48"")"),10)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IFERROR(__xludf.DUMMYFUNCTION("IMPORTRANGE(""https://docs.google.com/spreadsheets/d/1QqKyyYR6Q21VydFLVH3TRQUabQu_ym0Zz7PgGX0-kHA/edit?usp=sharing"",""แผน!S48"")"),1)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IFERROR(__xludf.DUMMYFUNCTION("IMPORTRANGE(""https://docs.google.com/spreadsheets/d/1QqKyyYR6Q21VydFLVH3TRQUabQu_ym0Zz7PgGX0-kHA/edit?usp=sharing"",""แผน!T48"")"),1)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>
      <c r="A118" s="957"/>
      <c r="B118" s="958" t="s">
        <v>65</v>
      </c>
      <c r="C118" s="1006"/>
      <c r="D118" s="960"/>
      <c r="E118" s="959"/>
      <c r="F118" s="959"/>
      <c r="G118" s="961"/>
      <c r="H118" s="205" t="s">
        <v>66</v>
      </c>
      <c r="I118" s="1007">
        <v>1</v>
      </c>
      <c r="J118" s="1007">
        <f>J440</f>
        <v>1</v>
      </c>
      <c r="K118" s="964">
        <f>IF(I118&gt;0,J118*100/I118,0)</f>
        <v>100</v>
      </c>
      <c r="L118" s="964"/>
      <c r="M118" s="964"/>
      <c r="N118" s="964"/>
      <c r="O118" s="964"/>
      <c r="P118" s="964"/>
    </row>
    <row r="119" spans="1:26" ht="19.5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252000</v>
      </c>
      <c r="M119" s="972">
        <f t="shared" ca="1" si="60"/>
        <v>251985</v>
      </c>
      <c r="N119" s="972">
        <f t="shared" ca="1" si="60"/>
        <v>251985</v>
      </c>
      <c r="O119" s="972">
        <f t="shared" ref="O119:O127" ca="1" si="61">IF(L119&gt;0,N119*100/L119,0)</f>
        <v>99.99404761904762</v>
      </c>
      <c r="P119" s="972">
        <f t="shared" ref="P119:P127" ca="1" si="62">IF(M119&gt;0,N119*100/M119,0)</f>
        <v>100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252000</v>
      </c>
      <c r="M121" s="870">
        <f t="shared" ca="1" si="63"/>
        <v>251985</v>
      </c>
      <c r="N121" s="870">
        <f t="shared" ca="1" si="63"/>
        <v>251985</v>
      </c>
      <c r="O121" s="870">
        <f t="shared" ca="1" si="61"/>
        <v>99.99404761904762</v>
      </c>
      <c r="P121" s="870">
        <f t="shared" ca="1" si="62"/>
        <v>100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IFERROR(__xludf.DUMMYFUNCTION("IMPORTRANGE(""https://docs.google.com/spreadsheets/d/1MeEWN-I1oV_STSDYn1IFDPWt_1FKiwhDph83XaGc0o0/edit?usp=sharing"",""งบพรบ!BA48"")"),0)</f>
        <v>0</v>
      </c>
      <c r="M124" s="870">
        <f ca="1">IFERROR(__xludf.DUMMYFUNCTION("IMPORTRANGE(""https://docs.google.com/spreadsheets/d/1MeEWN-I1oV_STSDYn1IFDPWt_1FKiwhDph83XaGc0o0/edit?usp=sharing"",""งบพรบ!BF48"")"),0)</f>
        <v>0</v>
      </c>
      <c r="N124" s="870">
        <f ca="1">IFERROR(__xludf.DUMMYFUNCTION("IMPORTRANGE(""https://docs.google.com/spreadsheets/d/1MeEWN-I1oV_STSDYn1IFDPWt_1FKiwhDph83XaGc0o0/edit?usp=sharing"",""งบพรบ!BH48"")"),0)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252000</v>
      </c>
      <c r="M125" s="864">
        <f t="shared" ca="1" si="65"/>
        <v>251985</v>
      </c>
      <c r="N125" s="864">
        <f t="shared" ca="1" si="65"/>
        <v>251985</v>
      </c>
      <c r="O125" s="864">
        <f t="shared" ca="1" si="61"/>
        <v>99.99404761904762</v>
      </c>
      <c r="P125" s="864">
        <f t="shared" ca="1" si="62"/>
        <v>100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IFERROR(__xludf.DUMMYFUNCTION("IMPORTRANGE(""https://docs.google.com/spreadsheets/d/1MeEWN-I1oV_STSDYn1IFDPWt_1FKiwhDph83XaGc0o0/edit?usp=sharing"",""งบพรบ!BD48"")"),252000)</f>
        <v>252000</v>
      </c>
      <c r="M127" s="870">
        <f ca="1">IFERROR(__xludf.DUMMYFUNCTION("IMPORTRANGE(""https://docs.google.com/spreadsheets/d/1MeEWN-I1oV_STSDYn1IFDPWt_1FKiwhDph83XaGc0o0/edit?usp=sharing"",""งบพรบ!BG48"")"),251985)</f>
        <v>251985</v>
      </c>
      <c r="N127" s="870">
        <f ca="1">IFERROR(__xludf.DUMMYFUNCTION("IMPORTRANGE(""https://docs.google.com/spreadsheets/d/1MeEWN-I1oV_STSDYn1IFDPWt_1FKiwhDph83XaGc0o0/edit?usp=sharing"",""งบพรบ!BI48"")"),251985)</f>
        <v>251985</v>
      </c>
      <c r="O127" s="870">
        <f t="shared" ca="1" si="61"/>
        <v>99.99404761904762</v>
      </c>
      <c r="P127" s="870">
        <f t="shared" ca="1" si="62"/>
        <v>100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IFERROR(__xludf.DUMMYFUNCTION("IMPORTRANGE(""https://docs.google.com/spreadsheets/d/1MeEWN-I1oV_STSDYn1IFDPWt_1FKiwhDph83XaGc0o0/edit?usp=sharing"",""งบพรบ!BK48"")"),0)</f>
        <v>0</v>
      </c>
      <c r="M137" s="870">
        <f ca="1">IFERROR(__xludf.DUMMYFUNCTION("IMPORTRANGE(""https://docs.google.com/spreadsheets/d/1MeEWN-I1oV_STSDYn1IFDPWt_1FKiwhDph83XaGc0o0/edit?usp=sharing"",""งบพรบ!BP48"")"),0)</f>
        <v>0</v>
      </c>
      <c r="N137" s="870">
        <f ca="1">IFERROR(__xludf.DUMMYFUNCTION("IMPORTRANGE(""https://docs.google.com/spreadsheets/d/1MeEWN-I1oV_STSDYn1IFDPWt_1FKiwhDph83XaGc0o0/edit?usp=sharing"",""งบพรบ!BR48"")"),0)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IFERROR(__xludf.DUMMYFUNCTION("IMPORTRANGE(""https://docs.google.com/spreadsheets/d/1MeEWN-I1oV_STSDYn1IFDPWt_1FKiwhDph83XaGc0o0/edit?usp=sharing"",""งบพรบ!BN48"")"),0)</f>
        <v>0</v>
      </c>
      <c r="M140" s="870">
        <f ca="1">IFERROR(__xludf.DUMMYFUNCTION("IMPORTRANGE(""https://docs.google.com/spreadsheets/d/1MeEWN-I1oV_STSDYn1IFDPWt_1FKiwhDph83XaGc0o0/edit?usp=sharing"",""งบพรบ!BQ48"")"),0)</f>
        <v>0</v>
      </c>
      <c r="N140" s="870">
        <f ca="1">IFERROR(__xludf.DUMMYFUNCTION("IMPORTRANGE(""https://docs.google.com/spreadsheets/d/1MeEWN-I1oV_STSDYn1IFDPWt_1FKiwhDph83XaGc0o0/edit?usp=sharing"",""งบพรบ!BS48"")"),0)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IFERROR(__xludf.DUMMYFUNCTION("IMPORTRANGE(""https://docs.google.com/spreadsheets/d/1QqKyyYR6Q21VydFLVH3TRQUabQu_ym0Zz7PgGX0-kHA/edit?usp=sharing"",""แผน!U48"")"),0)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IFERROR(__xludf.DUMMYFUNCTION("IMPORTRANGE(""https://docs.google.com/spreadsheets/d/1QqKyyYR6Q21VydFLVH3TRQUabQu_ym0Zz7PgGX0-kHA/edit?usp=sharing"",""แผน!V48"")"),0)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IFERROR(__xludf.DUMMYFUNCTION("IMPORTRANGE(""https://docs.google.com/spreadsheets/d/1QqKyyYR6Q21VydFLVH3TRQUabQu_ym0Zz7PgGX0-kHA/edit?usp=sharing"",""แผน!W48"")"),0)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IFERROR(__xludf.DUMMYFUNCTION("IMPORTRANGE(""https://docs.google.com/spreadsheets/d/1MeEWN-I1oV_STSDYn1IFDPWt_1FKiwhDph83XaGc0o0/edit?usp=sharing"",""งบพรบ!BU48"")"),0)</f>
        <v>0</v>
      </c>
      <c r="M154" s="870">
        <f ca="1">IFERROR(__xludf.DUMMYFUNCTION("IMPORTRANGE(""https://docs.google.com/spreadsheets/d/1MeEWN-I1oV_STSDYn1IFDPWt_1FKiwhDph83XaGc0o0/edit?usp=sharing"",""งบพรบ!BZ48"")"),0)</f>
        <v>0</v>
      </c>
      <c r="N154" s="870">
        <f ca="1">IFERROR(__xludf.DUMMYFUNCTION("IMPORTRANGE(""https://docs.google.com/spreadsheets/d/1MeEWN-I1oV_STSDYn1IFDPWt_1FKiwhDph83XaGc0o0/edit?usp=sharing"",""งบพรบ!CB48"")"),0)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IFERROR(__xludf.DUMMYFUNCTION("IMPORTRANGE(""https://docs.google.com/spreadsheets/d/1MeEWN-I1oV_STSDYn1IFDPWt_1FKiwhDph83XaGc0o0/edit?usp=sharing"",""งบพรบ!BX48"")"),0)</f>
        <v>0</v>
      </c>
      <c r="M157" s="870">
        <f ca="1">IFERROR(__xludf.DUMMYFUNCTION("IMPORTRANGE(""https://docs.google.com/spreadsheets/d/1MeEWN-I1oV_STSDYn1IFDPWt_1FKiwhDph83XaGc0o0/edit?usp=sharing"",""งบพรบ!CA48"")"),0)</f>
        <v>0</v>
      </c>
      <c r="N157" s="870">
        <f ca="1">IFERROR(__xludf.DUMMYFUNCTION("IMPORTRANGE(""https://docs.google.com/spreadsheets/d/1MeEWN-I1oV_STSDYn1IFDPWt_1FKiwhDph83XaGc0o0/edit?usp=sharing"",""งบพรบ!CC48"")"),0)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IFERROR(__xludf.DUMMYFUNCTION("IMPORTRANGE(""https://docs.google.com/spreadsheets/d/1QqKyyYR6Q21VydFLVH3TRQUabQu_ym0Zz7PgGX0-kHA/edit?usp=sharing"",""แผน!X48"")"),0)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23060</v>
      </c>
      <c r="N165" s="972">
        <f t="shared" ca="1" si="84"/>
        <v>23060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23060</v>
      </c>
      <c r="N167" s="870">
        <f t="shared" ca="1" si="87"/>
        <v>23060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23060</v>
      </c>
      <c r="N168" s="864">
        <f t="shared" ca="1" si="88"/>
        <v>23060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IFERROR(__xludf.DUMMYFUNCTION("IMPORTRANGE(""https://docs.google.com/spreadsheets/d/1MeEWN-I1oV_STSDYn1IFDPWt_1FKiwhDph83XaGc0o0/edit?usp=sharing"",""งบพรบ!CE48"")"),23060)</f>
        <v>23060</v>
      </c>
      <c r="M170" s="870">
        <f ca="1">IFERROR(__xludf.DUMMYFUNCTION("IMPORTRANGE(""https://docs.google.com/spreadsheets/d/1MeEWN-I1oV_STSDYn1IFDPWt_1FKiwhDph83XaGc0o0/edit?usp=sharing"",""งบพรบ!CJ48"")"),23060)</f>
        <v>23060</v>
      </c>
      <c r="N170" s="870">
        <f ca="1">IFERROR(__xludf.DUMMYFUNCTION("IMPORTRANGE(""https://docs.google.com/spreadsheets/d/1MeEWN-I1oV_STSDYn1IFDPWt_1FKiwhDph83XaGc0o0/edit?usp=sharing"",""งบพรบ!CL48"")"),23060)</f>
        <v>23060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IFERROR(__xludf.DUMMYFUNCTION("IMPORTRANGE(""https://docs.google.com/spreadsheets/d/1MeEWN-I1oV_STSDYn1IFDPWt_1FKiwhDph83XaGc0o0/edit?usp=sharing"",""งบพรบ!CH48"")"),0)</f>
        <v>0</v>
      </c>
      <c r="M173" s="870">
        <f ca="1">IFERROR(__xludf.DUMMYFUNCTION("IMPORTRANGE(""https://docs.google.com/spreadsheets/d/1MeEWN-I1oV_STSDYn1IFDPWt_1FKiwhDph83XaGc0o0/edit?usp=sharing"",""งบพรบ!CK48"")"),0)</f>
        <v>0</v>
      </c>
      <c r="N173" s="870">
        <f ca="1">IFERROR(__xludf.DUMMYFUNCTION("IMPORTRANGE(""https://docs.google.com/spreadsheets/d/1MeEWN-I1oV_STSDYn1IFDPWt_1FKiwhDph83XaGc0o0/edit?usp=sharing"",""งบพรบ!CM48"")"),0)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IFERROR(__xludf.DUMMYFUNCTION("IMPORTRANGE(""https://docs.google.com/spreadsheets/d/1QqKyyYR6Q21VydFLVH3TRQUabQu_ym0Zz7PgGX0-kHA/edit?usp=sharing"",""แผน!Y48"")"),12)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10</v>
      </c>
      <c r="J180" s="1041">
        <f t="shared" si="91"/>
        <v>10</v>
      </c>
      <c r="K180" s="1042">
        <f ca="1">IF(I180&gt;0,J180*100/I180,0)</f>
        <v>100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413500</v>
      </c>
      <c r="M181" s="972">
        <f t="shared" ca="1" si="92"/>
        <v>327750</v>
      </c>
      <c r="N181" s="972">
        <f t="shared" ca="1" si="92"/>
        <v>216797.63</v>
      </c>
      <c r="O181" s="972">
        <f t="shared" ref="O181:O189" ca="1" si="93">IF(L181&gt;0,N181*100/L181,0)</f>
        <v>52.429898428053207</v>
      </c>
      <c r="P181" s="972">
        <f t="shared" ref="P181:P189" ca="1" si="94">IF(M181&gt;0,N181*100/M181,0)</f>
        <v>66.147255530129669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413500</v>
      </c>
      <c r="M183" s="870">
        <f t="shared" ca="1" si="95"/>
        <v>327750</v>
      </c>
      <c r="N183" s="870">
        <f t="shared" ca="1" si="95"/>
        <v>216797.63</v>
      </c>
      <c r="O183" s="870">
        <f t="shared" ca="1" si="93"/>
        <v>52.429898428053207</v>
      </c>
      <c r="P183" s="870">
        <f t="shared" ca="1" si="94"/>
        <v>66.147255530129669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413500</v>
      </c>
      <c r="M184" s="864">
        <f t="shared" ca="1" si="96"/>
        <v>327750</v>
      </c>
      <c r="N184" s="864">
        <f t="shared" ca="1" si="96"/>
        <v>216797.63</v>
      </c>
      <c r="O184" s="864">
        <f t="shared" ca="1" si="93"/>
        <v>52.429898428053207</v>
      </c>
      <c r="P184" s="864">
        <f t="shared" ca="1" si="94"/>
        <v>66.147255530129669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IFERROR(__xludf.DUMMYFUNCTION("IMPORTRANGE(""https://docs.google.com/spreadsheets/d/1MeEWN-I1oV_STSDYn1IFDPWt_1FKiwhDph83XaGc0o0/edit?usp=sharing"",""งบพรบ!CO48"")"),413500)</f>
        <v>413500</v>
      </c>
      <c r="M186" s="870">
        <f ca="1">IFERROR(__xludf.DUMMYFUNCTION("IMPORTRANGE(""https://docs.google.com/spreadsheets/d/1MeEWN-I1oV_STSDYn1IFDPWt_1FKiwhDph83XaGc0o0/edit?usp=sharing"",""งบพรบ!CT48"")"),327750)</f>
        <v>327750</v>
      </c>
      <c r="N186" s="870">
        <f ca="1">IFERROR(__xludf.DUMMYFUNCTION("IMPORTRANGE(""https://docs.google.com/spreadsheets/d/1MeEWN-I1oV_STSDYn1IFDPWt_1FKiwhDph83XaGc0o0/edit?usp=sharing"",""งบพรบ!CV48"")"),216797.63)</f>
        <v>216797.63</v>
      </c>
      <c r="O186" s="870">
        <f t="shared" ca="1" si="93"/>
        <v>52.429898428053207</v>
      </c>
      <c r="P186" s="870">
        <f t="shared" ca="1" si="94"/>
        <v>66.147255530129669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IFERROR(__xludf.DUMMYFUNCTION("IMPORTRANGE(""https://docs.google.com/spreadsheets/d/1MeEWN-I1oV_STSDYn1IFDPWt_1FKiwhDph83XaGc0o0/edit?usp=sharing"",""งบพรบ!CR48"")"),0)</f>
        <v>0</v>
      </c>
      <c r="M189" s="870">
        <f ca="1">IFERROR(__xludf.DUMMYFUNCTION("IMPORTRANGE(""https://docs.google.com/spreadsheets/d/1MeEWN-I1oV_STSDYn1IFDPWt_1FKiwhDph83XaGc0o0/edit?usp=sharing"",""งบพรบ!CU48"")"),0)</f>
        <v>0</v>
      </c>
      <c r="N189" s="870">
        <f ca="1">IFERROR(__xludf.DUMMYFUNCTION("IMPORTRANGE(""https://docs.google.com/spreadsheets/d/1MeEWN-I1oV_STSDYn1IFDPWt_1FKiwhDph83XaGc0o0/edit?usp=sharing"",""งบพรบ!CW48"")"),0)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1</v>
      </c>
      <c r="K190" s="1058">
        <f ca="1">IF(I190&gt;0,J190*100/I190,0)</f>
        <v>25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IFERROR(__xludf.DUMMYFUNCTION("IMPORTRANGE(""https://docs.google.com/spreadsheets/d/1QqKyyYR6Q21VydFLVH3TRQUabQu_ym0Zz7PgGX0-kHA/edit?usp=sharing"",""แผน!Z48"")"),6000)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IFERROR(__xludf.DUMMYFUNCTION("IMPORTRANGE(""https://docs.google.com/spreadsheets/d/1QqKyyYR6Q21VydFLVH3TRQUabQu_ym0Zz7PgGX0-kHA/edit?usp=sharing"",""แผน!AC48"")"),4)</f>
        <v>4</v>
      </c>
      <c r="J193" s="992">
        <v>1</v>
      </c>
      <c r="K193" s="864">
        <f ca="1">IF(I193&gt;0,J193*100/I193,0)</f>
        <v>25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0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0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26816</v>
      </c>
      <c r="O198" s="972">
        <f ca="1">IF(L198&gt;0,N198*100/L198,0)</f>
        <v>68.758974358974356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IFERROR(__xludf.DUMMYFUNCTION("IMPORTRANGE(""https://docs.google.com/spreadsheets/d/1QqKyyYR6Q21VydFLVH3TRQUabQu_ym0Zz7PgGX0-kHA/edit?usp=sharing"",""แผน!AE48"")"),3000)</f>
        <v>3000</v>
      </c>
      <c r="M199" s="864"/>
      <c r="N199" s="1064">
        <v>3000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IFERROR(__xludf.DUMMYFUNCTION("IMPORTRANGE(""https://docs.google.com/spreadsheets/d/1QqKyyYR6Q21VydFLVH3TRQUabQu_ym0Zz7PgGX0-kHA/edit?usp=sharing"",""แผน!AF48"")"),24000)</f>
        <v>24000</v>
      </c>
      <c r="M200" s="864"/>
      <c r="N200" s="1064">
        <v>23816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IFERROR(__xludf.DUMMYFUNCTION("IMPORTRANGE(""https://docs.google.com/spreadsheets/d/1QqKyyYR6Q21VydFLVH3TRQUabQu_ym0Zz7PgGX0-kHA/edit?usp=sharing"",""แผน!AG48"")"),12000)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IFERROR(__xludf.DUMMYFUNCTION("IMPORTRANGE(""https://docs.google.com/spreadsheets/d/1QqKyyYR6Q21VydFLVH3TRQUabQu_ym0Zz7PgGX0-kHA/edit?usp=sharing"",""แผน!AH48"")"),0)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IFERROR(__xludf.DUMMYFUNCTION("IMPORTRANGE(""https://docs.google.com/spreadsheets/d/1QqKyyYR6Q21VydFLVH3TRQUabQu_ym0Zz7PgGX0-kHA/edit?usp=sharing"",""แผน!AI48"")"),3)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/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3</v>
      </c>
      <c r="J208" s="1057">
        <f t="shared" si="101"/>
        <v>3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42000</v>
      </c>
      <c r="M209" s="972"/>
      <c r="N209" s="972">
        <f>N210+N211+N212</f>
        <v>27000</v>
      </c>
      <c r="O209" s="972">
        <f ca="1">IF(L209&gt;0,N209*100/L209,0)</f>
        <v>64.285714285714292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IFERROR(__xludf.DUMMYFUNCTION("IMPORTRANGE(""https://docs.google.com/spreadsheets/d/1QqKyyYR6Q21VydFLVH3TRQUabQu_ym0Zz7PgGX0-kHA/edit?usp=sharing"",""แผน!AK48"")"),3000)</f>
        <v>3000</v>
      </c>
      <c r="M210" s="864"/>
      <c r="N210" s="1064">
        <v>3000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IFERROR(__xludf.DUMMYFUNCTION("IMPORTRANGE(""https://docs.google.com/spreadsheets/d/1QqKyyYR6Q21VydFLVH3TRQUabQu_ym0Zz7PgGX0-kHA/edit?usp=sharing"",""แผน!AL48"")"),15000)</f>
        <v>15000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IFERROR(__xludf.DUMMYFUNCTION("IMPORTRANGE(""https://docs.google.com/spreadsheets/d/1QqKyyYR6Q21VydFLVH3TRQUabQu_ym0Zz7PgGX0-kHA/edit?usp=sharing"",""แผน!AM48"")"),24000)</f>
        <v>24000</v>
      </c>
      <c r="M212" s="864"/>
      <c r="N212" s="1064">
        <v>24000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IFERROR(__xludf.DUMMYFUNCTION("IMPORTRANGE(""https://docs.google.com/spreadsheets/d/1QqKyyYR6Q21VydFLVH3TRQUabQu_ym0Zz7PgGX0-kHA/edit?usp=sharing"",""แผน!AN48"")"),3)</f>
        <v>3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IFERROR(__xludf.DUMMYFUNCTION("IMPORTRANGE(""https://docs.google.com/spreadsheets/d/1QqKyyYR6Q21VydFLVH3TRQUabQu_ym0Zz7PgGX0-kHA/edit?usp=sharing"",""แผน!AN48"")"),3)</f>
        <v>3</v>
      </c>
      <c r="J215" s="992">
        <v>3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16500</v>
      </c>
      <c r="M217" s="972"/>
      <c r="N217" s="972">
        <f>N218+N219+N220</f>
        <v>9535</v>
      </c>
      <c r="O217" s="972">
        <f ca="1">IF(L217&gt;0,N217*100/L217,0)</f>
        <v>57.787878787878789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IFERROR(__xludf.DUMMYFUNCTION("IMPORTRANGE(""https://docs.google.com/spreadsheets/d/1QqKyyYR6Q21VydFLVH3TRQUabQu_ym0Zz7PgGX0-kHA/edit?usp=sharing"",""แผน!AP48"")"),3000)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IFERROR(__xludf.DUMMYFUNCTION("IMPORTRANGE(""https://docs.google.com/spreadsheets/d/1QqKyyYR6Q21VydFLVH3TRQUabQu_ym0Zz7PgGX0-kHA/edit?usp=sharing"",""แผน!AQ48"")"),3500)</f>
        <v>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IFERROR(__xludf.DUMMYFUNCTION("IMPORTRANGE(""https://docs.google.com/spreadsheets/d/1QqKyyYR6Q21VydFLVH3TRQUabQu_ym0Zz7PgGX0-kHA/edit?usp=sharing"",""แผน!AR48"")"),10000)</f>
        <v>10000</v>
      </c>
      <c r="M220" s="864"/>
      <c r="N220" s="1064">
        <v>9535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IFERROR(__xludf.DUMMYFUNCTION("IMPORTRANGE(""https://docs.google.com/spreadsheets/d/1QqKyyYR6Q21VydFLVH3TRQUabQu_ym0Zz7PgGX0-kHA/edit?usp=sharing"",""แผน!AT48"")"),10000)</f>
        <v>10000</v>
      </c>
      <c r="J223" s="992">
        <v>10000</v>
      </c>
      <c r="K223" s="978">
        <f t="shared" ref="K223:K226" ca="1" si="104">IF(I223&gt;0,J223*100/I223,0)</f>
        <v>100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IFERROR(__xludf.DUMMYFUNCTION("IMPORTRANGE(""https://docs.google.com/spreadsheets/d/1QqKyyYR6Q21VydFLVH3TRQUabQu_ym0Zz7PgGX0-kHA/edit?usp=sharing"",""แผน!AT48"")"),10000)</f>
        <v>10000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IFERROR(__xludf.DUMMYFUNCTION("IMPORTRANGE(""https://docs.google.com/spreadsheets/d/1QqKyyYR6Q21VydFLVH3TRQUabQu_ym0Zz7PgGX0-kHA/edit?usp=sharing"",""แผน!AS48"")"),10)</f>
        <v>10</v>
      </c>
      <c r="J225" s="992">
        <v>10</v>
      </c>
      <c r="K225" s="978">
        <f t="shared" ca="1" si="104"/>
        <v>100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IFERROR(__xludf.DUMMYFUNCTION("IMPORTRANGE(""https://docs.google.com/spreadsheets/d/1QqKyyYR6Q21VydFLVH3TRQUabQu_ym0Zz7PgGX0-kHA/edit?usp=sharing"",""แผน!AV48"")"),0)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IFERROR(__xludf.DUMMYFUNCTION("IMPORTRANGE(""https://docs.google.com/spreadsheets/d/1QqKyyYR6Q21VydFLVH3TRQUabQu_ym0Zz7PgGX0-kHA/edit?usp=sharing"",""แผน!AW48"")"),0)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IFERROR(__xludf.DUMMYFUNCTION("IMPORTRANGE(""https://docs.google.com/spreadsheets/d/1QqKyyYR6Q21VydFLVH3TRQUabQu_ym0Zz7PgGX0-kHA/edit?usp=sharing"",""แผน!AX48"")"),0)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IFERROR(__xludf.DUMMYFUNCTION("IMPORTRANGE(""https://docs.google.com/spreadsheets/d/1QqKyyYR6Q21VydFLVH3TRQUabQu_ym0Zz7PgGX0-kHA/edit?usp=sharing"",""แผน!AY48"")"),0)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IFERROR(__xludf.DUMMYFUNCTION("IMPORTRANGE(""https://docs.google.com/spreadsheets/d/1QqKyyYR6Q21VydFLVH3TRQUabQu_ym0Zz7PgGX0-kHA/edit?usp=sharing"",""แผน!BE48"")"),0)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IFERROR(__xludf.DUMMYFUNCTION("IMPORTRANGE(""https://docs.google.com/spreadsheets/d/1QqKyyYR6Q21VydFLVH3TRQUabQu_ym0Zz7PgGX0-kHA/edit?usp=sharing"",""แผน!AZ48"")"),0)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IFERROR(__xludf.DUMMYFUNCTION("IMPORTRANGE(""https://docs.google.com/spreadsheets/d/1QqKyyYR6Q21VydFLVH3TRQUabQu_ym0Zz7PgGX0-kHA/edit?usp=sharing"",""แผน!BA48"")"),0)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IFERROR(__xludf.DUMMYFUNCTION("IMPORTRANGE(""https://docs.google.com/spreadsheets/d/1QqKyyYR6Q21VydFLVH3TRQUabQu_ym0Zz7PgGX0-kHA/edit?usp=sharing"",""แผน!BB48"")"),0)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IFERROR(__xludf.DUMMYFUNCTION("IMPORTRANGE(""https://docs.google.com/spreadsheets/d/1QqKyyYR6Q21VydFLVH3TRQUabQu_ym0Zz7PgGX0-kHA/edit?usp=sharing"",""แผน!BC48"")"),0)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IFERROR(__xludf.DUMMYFUNCTION("IMPORTRANGE(""https://docs.google.com/spreadsheets/d/1QqKyyYR6Q21VydFLVH3TRQUabQu_ym0Zz7PgGX0-kHA/edit?usp=sharing"",""แผน!BF48"")"),0)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22</v>
      </c>
      <c r="J260" s="1041">
        <f t="shared" si="115"/>
        <v>22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26900</v>
      </c>
      <c r="M261" s="972">
        <f t="shared" ca="1" si="116"/>
        <v>23900</v>
      </c>
      <c r="N261" s="972">
        <f t="shared" ca="1" si="116"/>
        <v>23183.5</v>
      </c>
      <c r="O261" s="972">
        <f t="shared" ref="O261:O269" ca="1" si="117">IF(L261&gt;0,N261*100/L261,0)</f>
        <v>86.184014869888472</v>
      </c>
      <c r="P261" s="972">
        <f t="shared" ref="P261:P269" ca="1" si="118">IF(M261&gt;0,N261*100/M261,0)</f>
        <v>97.0020920502092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26900</v>
      </c>
      <c r="M263" s="870">
        <f t="shared" ca="1" si="119"/>
        <v>23900</v>
      </c>
      <c r="N263" s="870">
        <f t="shared" ca="1" si="119"/>
        <v>23183.5</v>
      </c>
      <c r="O263" s="870">
        <f t="shared" ca="1" si="117"/>
        <v>86.184014869888472</v>
      </c>
      <c r="P263" s="870">
        <f t="shared" ca="1" si="118"/>
        <v>97.0020920502092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26900</v>
      </c>
      <c r="M264" s="864">
        <f t="shared" ca="1" si="120"/>
        <v>23900</v>
      </c>
      <c r="N264" s="864">
        <f t="shared" ca="1" si="120"/>
        <v>23183.5</v>
      </c>
      <c r="O264" s="864">
        <f t="shared" ca="1" si="117"/>
        <v>86.184014869888472</v>
      </c>
      <c r="P264" s="864">
        <f t="shared" ca="1" si="118"/>
        <v>97.0020920502092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IFERROR(__xludf.DUMMYFUNCTION("IMPORTRANGE(""https://docs.google.com/spreadsheets/d/1MeEWN-I1oV_STSDYn1IFDPWt_1FKiwhDph83XaGc0o0/edit?usp=sharing"",""งบพรบ!CY48"")"),26900)</f>
        <v>26900</v>
      </c>
      <c r="M266" s="870">
        <f ca="1">IFERROR(__xludf.DUMMYFUNCTION("IMPORTRANGE(""https://docs.google.com/spreadsheets/d/1MeEWN-I1oV_STSDYn1IFDPWt_1FKiwhDph83XaGc0o0/edit?usp=sharing"",""งบพรบ!DD48"")"),23900)</f>
        <v>23900</v>
      </c>
      <c r="N266" s="870">
        <f ca="1">IFERROR(__xludf.DUMMYFUNCTION("IMPORTRANGE(""https://docs.google.com/spreadsheets/d/1MeEWN-I1oV_STSDYn1IFDPWt_1FKiwhDph83XaGc0o0/edit?usp=sharing"",""งบพรบ!DF48"")"),23183.5)</f>
        <v>23183.5</v>
      </c>
      <c r="O266" s="870">
        <f t="shared" ca="1" si="117"/>
        <v>86.184014869888472</v>
      </c>
      <c r="P266" s="870">
        <f t="shared" ca="1" si="118"/>
        <v>97.0020920502092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IFERROR(__xludf.DUMMYFUNCTION("IMPORTRANGE(""https://docs.google.com/spreadsheets/d/1MeEWN-I1oV_STSDYn1IFDPWt_1FKiwhDph83XaGc0o0/edit?usp=sharing"",""งบพรบ!DB48"")"),0)</f>
        <v>0</v>
      </c>
      <c r="M269" s="870">
        <f ca="1">IFERROR(__xludf.DUMMYFUNCTION("IMPORTRANGE(""https://docs.google.com/spreadsheets/d/1MeEWN-I1oV_STSDYn1IFDPWt_1FKiwhDph83XaGc0o0/edit?usp=sharing"",""งบพรบ!DE48"")"),0)</f>
        <v>0</v>
      </c>
      <c r="N269" s="870">
        <f ca="1">IFERROR(__xludf.DUMMYFUNCTION("IMPORTRANGE(""https://docs.google.com/spreadsheets/d/1MeEWN-I1oV_STSDYn1IFDPWt_1FKiwhDph83XaGc0o0/edit?usp=sharing"",""งบพรบ!DG48"")"),0)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IFERROR(__xludf.DUMMYFUNCTION("IMPORTRANGE(""https://docs.google.com/spreadsheets/d/1QqKyyYR6Q21VydFLVH3TRQUabQu_ym0Zz7PgGX0-kHA/edit?usp=sharing"",""แผน!EA48"")"),22)</f>
        <v>22</v>
      </c>
      <c r="J271" s="992">
        <v>22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30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38">
        <f t="shared" ref="I276:J276" ca="1" si="124">I287</f>
        <v>300</v>
      </c>
      <c r="J276" s="1138">
        <f t="shared" si="124"/>
        <v>0</v>
      </c>
      <c r="K276" s="1139">
        <f t="shared" ca="1" si="123"/>
        <v>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111710</v>
      </c>
      <c r="M277" s="972">
        <f t="shared" ca="1" si="125"/>
        <v>54530</v>
      </c>
      <c r="N277" s="972">
        <f t="shared" ca="1" si="125"/>
        <v>49435</v>
      </c>
      <c r="O277" s="972">
        <f t="shared" ref="O277:O285" ca="1" si="126">IF(L277&gt;0,N277*100/L277,0)</f>
        <v>44.252976456897322</v>
      </c>
      <c r="P277" s="972">
        <f t="shared" ref="P277:P285" ca="1" si="127">IF(M277&gt;0,N277*100/M277,0)</f>
        <v>90.656519347148361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111710</v>
      </c>
      <c r="M279" s="870">
        <f t="shared" ca="1" si="128"/>
        <v>54530</v>
      </c>
      <c r="N279" s="870">
        <f t="shared" ca="1" si="128"/>
        <v>49435</v>
      </c>
      <c r="O279" s="870">
        <f t="shared" ca="1" si="126"/>
        <v>44.252976456897322</v>
      </c>
      <c r="P279" s="870">
        <f t="shared" ca="1" si="127"/>
        <v>90.656519347148361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111710</v>
      </c>
      <c r="M280" s="864">
        <f t="shared" ca="1" si="129"/>
        <v>54530</v>
      </c>
      <c r="N280" s="864">
        <f t="shared" ca="1" si="129"/>
        <v>49435</v>
      </c>
      <c r="O280" s="864">
        <f t="shared" ca="1" si="126"/>
        <v>44.252976456897322</v>
      </c>
      <c r="P280" s="864">
        <f t="shared" ca="1" si="127"/>
        <v>90.656519347148361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IFERROR(__xludf.DUMMYFUNCTION("IMPORTRANGE(""https://docs.google.com/spreadsheets/d/1MeEWN-I1oV_STSDYn1IFDPWt_1FKiwhDph83XaGc0o0/edit?usp=sharing"",""งบพรบ!DI48"")"),111710)</f>
        <v>111710</v>
      </c>
      <c r="M282" s="870">
        <f ca="1">IFERROR(__xludf.DUMMYFUNCTION("IMPORTRANGE(""https://docs.google.com/spreadsheets/d/1MeEWN-I1oV_STSDYn1IFDPWt_1FKiwhDph83XaGc0o0/edit?usp=sharing"",""งบพรบ!DN48"")"),54530)</f>
        <v>54530</v>
      </c>
      <c r="N282" s="870">
        <f ca="1">IFERROR(__xludf.DUMMYFUNCTION("IMPORTRANGE(""https://docs.google.com/spreadsheets/d/1MeEWN-I1oV_STSDYn1IFDPWt_1FKiwhDph83XaGc0o0/edit?usp=sharing"",""งบพรบ!DP48"")"),49435)</f>
        <v>49435</v>
      </c>
      <c r="O282" s="870">
        <f t="shared" ca="1" si="126"/>
        <v>44.252976456897322</v>
      </c>
      <c r="P282" s="870">
        <f t="shared" ca="1" si="127"/>
        <v>90.656519347148361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IFERROR(__xludf.DUMMYFUNCTION("IMPORTRANGE(""https://docs.google.com/spreadsheets/d/1MeEWN-I1oV_STSDYn1IFDPWt_1FKiwhDph83XaGc0o0/edit?usp=sharing"",""งบพรบ!DL48"")"),0)</f>
        <v>0</v>
      </c>
      <c r="M285" s="870">
        <f ca="1">IFERROR(__xludf.DUMMYFUNCTION("IMPORTRANGE(""https://docs.google.com/spreadsheets/d/1MeEWN-I1oV_STSDYn1IFDPWt_1FKiwhDph83XaGc0o0/edit?usp=sharing"",""งบพรบ!DO48"")"),0)</f>
        <v>0</v>
      </c>
      <c r="N285" s="870">
        <f ca="1">IFERROR(__xludf.DUMMYFUNCTION("IMPORTRANGE(""https://docs.google.com/spreadsheets/d/1MeEWN-I1oV_STSDYn1IFDPWt_1FKiwhDph83XaGc0o0/edit?usp=sharing"",""งบพรบ!DQ48"")"),0)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IFERROR(__xludf.DUMMYFUNCTION("IMPORTRANGE(""https://docs.google.com/spreadsheets/d/1QqKyyYR6Q21VydFLVH3TRQUabQu_ym0Zz7PgGX0-kHA/edit?usp=sharing"",""แผน!EC48"")"),300)</f>
        <v>300</v>
      </c>
      <c r="J287" s="992">
        <v>0</v>
      </c>
      <c r="K287" s="978">
        <f t="shared" ref="K287:K288" ca="1" si="131">IF(I287&gt;0,J287*100/I287,0)</f>
        <v>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IFERROR(__xludf.DUMMYFUNCTION("IMPORTRANGE(""https://docs.google.com/spreadsheets/d/1QqKyyYR6Q21VydFLVH3TRQUabQu_ym0Zz7PgGX0-kHA/edit?usp=sharing"",""แผน!EB48"")"),30)</f>
        <v>30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IFERROR(__xludf.DUMMYFUNCTION("IMPORTRANGE(""https://docs.google.com/spreadsheets/d/1QqKyyYR6Q21VydFLVH3TRQUabQu_ym0Zz7PgGX0-kHA/edit?usp=sharing"",""แผน!EB48"")"),30)</f>
        <v>30</v>
      </c>
      <c r="J290" s="992">
        <v>30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IFERROR(__xludf.DUMMYFUNCTION("IMPORTRANGE(""https://docs.google.com/spreadsheets/d/1QqKyyYR6Q21VydFLVH3TRQUabQu_ym0Zz7PgGX0-kHA/edit?usp=sharing"",""แผน!EB48"")"),30)</f>
        <v>30</v>
      </c>
      <c r="J291" s="992">
        <v>30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IFERROR(__xludf.DUMMYFUNCTION("IMPORTRANGE(""https://docs.google.com/spreadsheets/d/1QqKyyYR6Q21VydFLVH3TRQUabQu_ym0Zz7PgGX0-kHA/edit?usp=sharing"",""แผน!EB48"")"),30)</f>
        <v>30</v>
      </c>
      <c r="J293" s="992"/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IFERROR(__xludf.DUMMYFUNCTION("IMPORTRANGE(""https://docs.google.com/spreadsheets/d/1QqKyyYR6Q21VydFLVH3TRQUabQu_ym0Zz7PgGX0-kHA/edit?usp=sharing"",""แผน!EB48"")"),30)</f>
        <v>30</v>
      </c>
      <c r="J294" s="1151"/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 hidden="1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 hidden="1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0</v>
      </c>
      <c r="J297" s="1170">
        <f t="shared" si="134"/>
        <v>0</v>
      </c>
      <c r="K297" s="1171">
        <f ca="1">IF(I297&gt;0,J297*100/I297,0)</f>
        <v>0</v>
      </c>
      <c r="L297" s="1172"/>
      <c r="M297" s="1172"/>
      <c r="N297" s="1172"/>
      <c r="O297" s="1172"/>
      <c r="P297" s="1172"/>
    </row>
    <row r="298" spans="1:26" ht="19.5" hidden="1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0</v>
      </c>
      <c r="M298" s="972">
        <f t="shared" ca="1" si="135"/>
        <v>0</v>
      </c>
      <c r="N298" s="972">
        <f t="shared" ca="1" si="135"/>
        <v>0</v>
      </c>
      <c r="O298" s="972">
        <f t="shared" ref="O298:O306" ca="1" si="136">IF(L298&gt;0,N298*100/L298,0)</f>
        <v>0</v>
      </c>
      <c r="P298" s="972">
        <f t="shared" ref="P298:P306" ca="1" si="137">IF(M298&gt;0,N298*100/M298,0)</f>
        <v>0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0</v>
      </c>
      <c r="M300" s="870">
        <f t="shared" ca="1" si="138"/>
        <v>0</v>
      </c>
      <c r="N300" s="870">
        <f t="shared" ca="1" si="138"/>
        <v>0</v>
      </c>
      <c r="O300" s="870">
        <f t="shared" ca="1" si="136"/>
        <v>0</v>
      </c>
      <c r="P300" s="870">
        <f t="shared" ca="1" si="137"/>
        <v>0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 hidden="1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0</v>
      </c>
      <c r="M301" s="864">
        <f t="shared" ca="1" si="139"/>
        <v>0</v>
      </c>
      <c r="N301" s="864">
        <f t="shared" ca="1" si="139"/>
        <v>0</v>
      </c>
      <c r="O301" s="864">
        <f t="shared" ca="1" si="136"/>
        <v>0</v>
      </c>
      <c r="P301" s="864">
        <f t="shared" ca="1" si="137"/>
        <v>0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IFERROR(__xludf.DUMMYFUNCTION("IMPORTRANGE(""https://docs.google.com/spreadsheets/d/1MeEWN-I1oV_STSDYn1IFDPWt_1FKiwhDph83XaGc0o0/edit?usp=sharing"",""งบพรบ!DS48"")"),0)</f>
        <v>0</v>
      </c>
      <c r="M303" s="870">
        <f ca="1">IFERROR(__xludf.DUMMYFUNCTION("IMPORTRANGE(""https://docs.google.com/spreadsheets/d/1MeEWN-I1oV_STSDYn1IFDPWt_1FKiwhDph83XaGc0o0/edit?usp=sharing"",""งบพรบ!DX48"")"),0)</f>
        <v>0</v>
      </c>
      <c r="N303" s="870">
        <f ca="1">IFERROR(__xludf.DUMMYFUNCTION("IMPORTRANGE(""https://docs.google.com/spreadsheets/d/1MeEWN-I1oV_STSDYn1IFDPWt_1FKiwhDph83XaGc0o0/edit?usp=sharing"",""งบพรบ!DZ48"")"),0)</f>
        <v>0</v>
      </c>
      <c r="O303" s="870">
        <f t="shared" ca="1" si="136"/>
        <v>0</v>
      </c>
      <c r="P303" s="870">
        <f t="shared" ca="1" si="137"/>
        <v>0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 hidden="1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IFERROR(__xludf.DUMMYFUNCTION("IMPORTRANGE(""https://docs.google.com/spreadsheets/d/1MeEWN-I1oV_STSDYn1IFDPWt_1FKiwhDph83XaGc0o0/edit?usp=sharing"",""งบพรบ!DV48"")"),0)</f>
        <v>0</v>
      </c>
      <c r="M306" s="870">
        <f ca="1">IFERROR(__xludf.DUMMYFUNCTION("IMPORTRANGE(""https://docs.google.com/spreadsheets/d/1MeEWN-I1oV_STSDYn1IFDPWt_1FKiwhDph83XaGc0o0/edit?usp=sharing"",""งบพรบ!DY48"")"),0)</f>
        <v>0</v>
      </c>
      <c r="N306" s="870">
        <f ca="1">IFERROR(__xludf.DUMMYFUNCTION("IMPORTRANGE(""https://docs.google.com/spreadsheets/d/1MeEWN-I1oV_STSDYn1IFDPWt_1FKiwhDph83XaGc0o0/edit?usp=sharing"",""งบพรบ!EA48"")"),0)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 hidden="1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 hidden="1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0</v>
      </c>
      <c r="K308" s="864"/>
      <c r="L308" s="864"/>
      <c r="M308" s="864"/>
      <c r="N308" s="864"/>
      <c r="O308" s="864"/>
      <c r="P308" s="864"/>
    </row>
    <row r="309" spans="1:26" ht="18.75" hidden="1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IFERROR(__xludf.DUMMYFUNCTION("IMPORTRANGE(""https://docs.google.com/spreadsheets/d/1QqKyyYR6Q21VydFLVH3TRQUabQu_ym0Zz7PgGX0-kHA/edit?usp=sharing"",""แผน!ED48"")"),0)</f>
        <v>0</v>
      </c>
      <c r="J309" s="992">
        <v>0</v>
      </c>
      <c r="K309" s="864">
        <f t="shared" ref="K309:K312" ca="1" si="141">IF(I309&gt;0,J309*100/I309,0)</f>
        <v>0</v>
      </c>
      <c r="L309" s="864"/>
      <c r="M309" s="864"/>
      <c r="N309" s="864"/>
      <c r="O309" s="864"/>
      <c r="P309" s="864"/>
    </row>
    <row r="310" spans="1:26" ht="18.75" hidden="1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IFERROR(__xludf.DUMMYFUNCTION("IMPORTRANGE(""https://docs.google.com/spreadsheets/d/1QqKyyYR6Q21VydFLVH3TRQUabQu_ym0Zz7PgGX0-kHA/edit?usp=sharing"",""แผน!ED48"")"),0)</f>
        <v>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 hidden="1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IFERROR(__xludf.DUMMYFUNCTION("IMPORTRANGE(""https://docs.google.com/spreadsheets/d/1QqKyyYR6Q21VydFLVH3TRQUabQu_ym0Zz7PgGX0-kHA/edit?usp=sharing"",""แผน!ED48"")"),0)</f>
        <v>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 hidden="1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IFERROR(__xludf.DUMMYFUNCTION("IMPORTRANGE(""https://docs.google.com/spreadsheets/d/1QqKyyYR6Q21VydFLVH3TRQUabQu_ym0Zz7PgGX0-kHA/edit?usp=sharing"",""แผน!EE48"")"),0)</f>
        <v>0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IFERROR(__xludf.DUMMYFUNCTION("IMPORTRANGE(""https://docs.google.com/spreadsheets/d/1MeEWN-I1oV_STSDYn1IFDPWt_1FKiwhDph83XaGc0o0/edit?usp=sharing"",""งบพรบ!EC48"")"),0)</f>
        <v>0</v>
      </c>
      <c r="M320" s="870">
        <f ca="1">IFERROR(__xludf.DUMMYFUNCTION("IMPORTRANGE(""https://docs.google.com/spreadsheets/d/1MeEWN-I1oV_STSDYn1IFDPWt_1FKiwhDph83XaGc0o0/edit?usp=sharing"",""งบพรบ!EH48"")"),0)</f>
        <v>0</v>
      </c>
      <c r="N320" s="870">
        <f ca="1">IFERROR(__xludf.DUMMYFUNCTION("IMPORTRANGE(""https://docs.google.com/spreadsheets/d/1MeEWN-I1oV_STSDYn1IFDPWt_1FKiwhDph83XaGc0o0/edit?usp=sharing"",""งบพรบ!EJ48"")"),0)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IFERROR(__xludf.DUMMYFUNCTION("IMPORTRANGE(""https://docs.google.com/spreadsheets/d/1MeEWN-I1oV_STSDYn1IFDPWt_1FKiwhDph83XaGc0o0/edit?usp=sharing"",""งบพรบ!EF48"")"),0)</f>
        <v>0</v>
      </c>
      <c r="M323" s="870">
        <f ca="1">IFERROR(__xludf.DUMMYFUNCTION("IMPORTRANGE(""https://docs.google.com/spreadsheets/d/1MeEWN-I1oV_STSDYn1IFDPWt_1FKiwhDph83XaGc0o0/edit?usp=sharing"",""งบพรบ!EI48"")"),0)</f>
        <v>0</v>
      </c>
      <c r="N323" s="870">
        <f ca="1">IFERROR(__xludf.DUMMYFUNCTION("IMPORTRANGE(""https://docs.google.com/spreadsheets/d/1MeEWN-I1oV_STSDYn1IFDPWt_1FKiwhDph83XaGc0o0/edit?usp=sharing"",""งบพรบ!EK48"")"),0)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IFERROR(__xludf.DUMMYFUNCTION("IMPORTRANGE(""https://docs.google.com/spreadsheets/d/1QqKyyYR6Q21VydFLVH3TRQUabQu_ym0Zz7PgGX0-kHA/edit?usp=sharing"",""แผน!EF48"")"),0)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IFERROR(__xludf.DUMMYFUNCTION("IMPORTRANGE(""https://docs.google.com/spreadsheets/d/1QqKyyYR6Q21VydFLVH3TRQUabQu_ym0Zz7PgGX0-kHA/edit?usp=sharing"",""แผน!EG48"")"),4600)</f>
        <v>4600</v>
      </c>
      <c r="J327" s="1170">
        <f ca="1">J338+J341+J342+J343</f>
        <v>2959</v>
      </c>
      <c r="K327" s="1171">
        <f ca="1">IF(I327&gt;0,J327*100/I327,0)</f>
        <v>64.326086956521735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175000</v>
      </c>
      <c r="M328" s="972">
        <f t="shared" ca="1" si="149"/>
        <v>133750</v>
      </c>
      <c r="N328" s="972">
        <f t="shared" ca="1" si="149"/>
        <v>45000</v>
      </c>
      <c r="O328" s="972">
        <f t="shared" ref="O328:O336" ca="1" si="150">IF(L328&gt;0,N328*100/L328,0)</f>
        <v>25.714285714285715</v>
      </c>
      <c r="P328" s="972">
        <f t="shared" ref="P328:P336" ca="1" si="151">IF(M328&gt;0,N328*100/M328,0)</f>
        <v>33.644859813084111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175000</v>
      </c>
      <c r="M330" s="870">
        <f t="shared" ca="1" si="152"/>
        <v>133750</v>
      </c>
      <c r="N330" s="870">
        <f t="shared" ca="1" si="152"/>
        <v>45000</v>
      </c>
      <c r="O330" s="870">
        <f t="shared" ca="1" si="150"/>
        <v>25.714285714285715</v>
      </c>
      <c r="P330" s="870">
        <f t="shared" ca="1" si="151"/>
        <v>33.644859813084111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175000</v>
      </c>
      <c r="M331" s="864">
        <f t="shared" ca="1" si="153"/>
        <v>133750</v>
      </c>
      <c r="N331" s="864">
        <f t="shared" ca="1" si="153"/>
        <v>45000</v>
      </c>
      <c r="O331" s="864">
        <f t="shared" ca="1" si="150"/>
        <v>25.714285714285715</v>
      </c>
      <c r="P331" s="864">
        <f t="shared" ca="1" si="151"/>
        <v>33.644859813084111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IFERROR(__xludf.DUMMYFUNCTION("IMPORTRANGE(""https://docs.google.com/spreadsheets/d/1MeEWN-I1oV_STSDYn1IFDPWt_1FKiwhDph83XaGc0o0/edit?usp=sharing"",""งบพรบ!EM48"")"),175000)</f>
        <v>175000</v>
      </c>
      <c r="M333" s="870">
        <f ca="1">IFERROR(__xludf.DUMMYFUNCTION("IMPORTRANGE(""https://docs.google.com/spreadsheets/d/1MeEWN-I1oV_STSDYn1IFDPWt_1FKiwhDph83XaGc0o0/edit?usp=sharing"",""งบพรบ!ER48"")"),133750)</f>
        <v>133750</v>
      </c>
      <c r="N333" s="870">
        <f ca="1">IFERROR(__xludf.DUMMYFUNCTION("IMPORTRANGE(""https://docs.google.com/spreadsheets/d/1MeEWN-I1oV_STSDYn1IFDPWt_1FKiwhDph83XaGc0o0/edit?usp=sharing"",""งบพรบ!ET48"")"),45000)</f>
        <v>45000</v>
      </c>
      <c r="O333" s="870">
        <f t="shared" ca="1" si="150"/>
        <v>25.714285714285715</v>
      </c>
      <c r="P333" s="870">
        <f t="shared" ca="1" si="151"/>
        <v>33.644859813084111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IFERROR(__xludf.DUMMYFUNCTION("IMPORTRANGE(""https://docs.google.com/spreadsheets/d/1MeEWN-I1oV_STSDYn1IFDPWt_1FKiwhDph83XaGc0o0/edit?usp=sharing"",""งบพรบ!EP48"")"),0)</f>
        <v>0</v>
      </c>
      <c r="M336" s="870">
        <f ca="1">IFERROR(__xludf.DUMMYFUNCTION("IMPORTRANGE(""https://docs.google.com/spreadsheets/d/1MeEWN-I1oV_STSDYn1IFDPWt_1FKiwhDph83XaGc0o0/edit?usp=sharing"",""งบพรบ!ES48"")"),0)</f>
        <v>0</v>
      </c>
      <c r="N336" s="870">
        <f ca="1">IFERROR(__xludf.DUMMYFUNCTION("IMPORTRANGE(""https://docs.google.com/spreadsheets/d/1MeEWN-I1oV_STSDYn1IFDPWt_1FKiwhDph83XaGc0o0/edit?usp=sharing"",""งบพรบ!EU48"")"),0)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IFERROR(__xludf.DUMMYFUNCTION("IMPORTRANGE(""https://docs.google.com/spreadsheets/d/1QqKyyYR6Q21VydFLVH3TRQUabQu_ym0Zz7PgGX0-kHA/edit?usp=sharing"",""แผน!EG48"")"),4600)</f>
        <v>4600</v>
      </c>
      <c r="J338" s="863">
        <f ca="1">IFERROR(__xludf.DUMMYFUNCTION("IMPORTRANGE(""https://docs.google.com/spreadsheets/d/1kVcqe37tkHyjCSG3S0O1AXqVkqjo8mSIZil3BcpIysc/edit?usp=sharing"",""ศูนย์!D48"")"),2561)</f>
        <v>2561</v>
      </c>
      <c r="K338" s="864">
        <f ca="1">IF(I338&gt;0,J338*100/I338,0)</f>
        <v>55.673913043478258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IFERROR(__xludf.DUMMYFUNCTION("IMPORTRANGE(""https://docs.google.com/spreadsheets/d/1QqKyyYR6Q21VydFLVH3TRQUabQu_ym0Zz7PgGX0-kHA/edit?usp=sharing"",""แผน!EH48"")"),6)</f>
        <v>6</v>
      </c>
      <c r="J340" s="863">
        <f ca="1">IFERROR(__xludf.DUMMYFUNCTION("IMPORTRANGE(""https://docs.google.com/spreadsheets/d/1kVcqe37tkHyjCSG3S0O1AXqVkqjo8mSIZil3BcpIysc/edit?usp=sharing"",""ศูนย์!E48"")"),5)</f>
        <v>5</v>
      </c>
      <c r="K340" s="864">
        <f ca="1">IF(I340&gt;0,J340*100/I340,0)</f>
        <v>83.333333333333329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IFERROR(__xludf.DUMMYFUNCTION("IMPORTRANGE(""https://docs.google.com/spreadsheets/d/1kVcqe37tkHyjCSG3S0O1AXqVkqjo8mSIZil3BcpIysc/edit?usp=sharing"",""ศูนย์!F48"")"),398)</f>
        <v>398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IFERROR(__xludf.DUMMYFUNCTION("IMPORTRANGE(""https://docs.google.com/spreadsheets/d/1kVcqe37tkHyjCSG3S0O1AXqVkqjo8mSIZil3BcpIysc/edit?usp=sharing"",""ศูนย์!G48"")"),0)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IFERROR(__xludf.DUMMYFUNCTION("IMPORTRANGE(""https://docs.google.com/spreadsheets/d/1kVcqe37tkHyjCSG3S0O1AXqVkqjo8mSIZil3BcpIysc/edit?usp=sharing"",""ศูนย์!H48"")"),0)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1121060</v>
      </c>
      <c r="M345" s="972">
        <f t="shared" ca="1" si="155"/>
        <v>852200</v>
      </c>
      <c r="N345" s="972">
        <f t="shared" ca="1" si="155"/>
        <v>531458.98</v>
      </c>
      <c r="O345" s="972">
        <f t="shared" ref="O345:O353" ca="1" si="156">IF(L345&gt;0,N345*100/L345,0)</f>
        <v>47.406827466861721</v>
      </c>
      <c r="P345" s="972">
        <f t="shared" ref="P345:P353" ca="1" si="157">IF(M345&gt;0,N345*100/M345,0)</f>
        <v>62.363175310959868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1121060</v>
      </c>
      <c r="M347" s="870">
        <f t="shared" ca="1" si="158"/>
        <v>852200</v>
      </c>
      <c r="N347" s="870">
        <f t="shared" ca="1" si="158"/>
        <v>531458.98</v>
      </c>
      <c r="O347" s="870">
        <f t="shared" ca="1" si="156"/>
        <v>47.406827466861721</v>
      </c>
      <c r="P347" s="870">
        <f t="shared" ca="1" si="157"/>
        <v>62.363175310959868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1061060</v>
      </c>
      <c r="M348" s="864">
        <f t="shared" ca="1" si="159"/>
        <v>792200</v>
      </c>
      <c r="N348" s="864">
        <f t="shared" ca="1" si="159"/>
        <v>471458.98</v>
      </c>
      <c r="O348" s="864">
        <f t="shared" ca="1" si="156"/>
        <v>44.432829434716226</v>
      </c>
      <c r="P348" s="864">
        <f t="shared" ca="1" si="157"/>
        <v>59.512620550366066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IFERROR(__xludf.DUMMYFUNCTION("IMPORTRANGE(""https://docs.google.com/spreadsheets/d/1MeEWN-I1oV_STSDYn1IFDPWt_1FKiwhDph83XaGc0o0/edit?usp=sharing"",""งบพรบ!EW48"")"),1061060)</f>
        <v>1061060</v>
      </c>
      <c r="M350" s="870">
        <f ca="1">IFERROR(__xludf.DUMMYFUNCTION("IMPORTRANGE(""https://docs.google.com/spreadsheets/d/1MeEWN-I1oV_STSDYn1IFDPWt_1FKiwhDph83XaGc0o0/edit?usp=sharing"",""งบพรบ!FB48"")"),792200)</f>
        <v>792200</v>
      </c>
      <c r="N350" s="870">
        <f ca="1">IFERROR(__xludf.DUMMYFUNCTION("IMPORTRANGE(""https://docs.google.com/spreadsheets/d/1MeEWN-I1oV_STSDYn1IFDPWt_1FKiwhDph83XaGc0o0/edit?usp=sharing"",""งบพรบ!FD48"")"),471458.98)</f>
        <v>471458.98</v>
      </c>
      <c r="O350" s="870">
        <f t="shared" ca="1" si="156"/>
        <v>44.432829434716226</v>
      </c>
      <c r="P350" s="870">
        <f t="shared" ca="1" si="157"/>
        <v>59.512620550366066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60000</v>
      </c>
      <c r="M351" s="864">
        <f t="shared" ca="1" si="160"/>
        <v>60000</v>
      </c>
      <c r="N351" s="864">
        <f t="shared" ca="1" si="160"/>
        <v>60000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IFERROR(__xludf.DUMMYFUNCTION("IMPORTRANGE(""https://docs.google.com/spreadsheets/d/1MeEWN-I1oV_STSDYn1IFDPWt_1FKiwhDph83XaGc0o0/edit?usp=sharing"",""งบพรบ!EZ48"")"),60000)</f>
        <v>60000</v>
      </c>
      <c r="M353" s="870">
        <f ca="1">IFERROR(__xludf.DUMMYFUNCTION("IMPORTRANGE(""https://docs.google.com/spreadsheets/d/1MeEWN-I1oV_STSDYn1IFDPWt_1FKiwhDph83XaGc0o0/edit?usp=sharing"",""งบพรบ!FC48"")"),60000)</f>
        <v>60000</v>
      </c>
      <c r="N353" s="870">
        <f ca="1">IFERROR(__xludf.DUMMYFUNCTION("IMPORTRANGE(""https://docs.google.com/spreadsheets/d/1MeEWN-I1oV_STSDYn1IFDPWt_1FKiwhDph83XaGc0o0/edit?usp=sharing"",""งบพรบ!FE48"")"),60000)</f>
        <v>60000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IFERROR(__xludf.DUMMYFUNCTION("IMPORTRANGE(""https://docs.google.com/spreadsheets/d/1QqKyyYR6Q21VydFLVH3TRQUabQu_ym0Zz7PgGX0-kHA/edit?usp=sharing"",""แผน!EP48"")"),440)</f>
        <v>440</v>
      </c>
      <c r="J355" s="1186">
        <f ca="1">J362</f>
        <v>59</v>
      </c>
      <c r="K355" s="1187">
        <f ca="1">IF(I355&gt;0,J355*100/I355,0)</f>
        <v>13.409090909090908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IFERROR(__xludf.DUMMYFUNCTION("IMPORTRANGE(""https://docs.google.com/spreadsheets/d/1XWAQStnk-4SwqDmLtmXYiTMKHgktTP8We1SCoS47DrQ/edit?usp=sharing"",""จัดที่ดิน!W48"")"),125)</f>
        <v>125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IFERROR(__xludf.DUMMYFUNCTION("IMPORTRANGE(""https://docs.google.com/spreadsheets/d/1QqKyyYR6Q21VydFLVH3TRQUabQu_ym0Zz7PgGX0-kHA/edit?usp=sharing"",""แผน!EO48"")"),4500)</f>
        <v>4500</v>
      </c>
      <c r="J359" s="863">
        <f ca="1">IFERROR(__xludf.DUMMYFUNCTION("IMPORTRANGE(""https://docs.google.com/spreadsheets/d/1XWAQStnk-4SwqDmLtmXYiTMKHgktTP8We1SCoS47DrQ/edit?usp=sharing"",""จัดที่ดิน!X48"")"),1104.63999999999)</f>
        <v>1104.6399999999901</v>
      </c>
      <c r="K359" s="864">
        <f t="shared" ca="1" si="161"/>
        <v>24.547555555555334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IFERROR(__xludf.DUMMYFUNCTION("IMPORTRANGE(""https://docs.google.com/spreadsheets/d/1QqKyyYR6Q21VydFLVH3TRQUabQu_ym0Zz7PgGX0-kHA/edit?usp=sharing"",""แผน!EP48"")"),440)</f>
        <v>440</v>
      </c>
      <c r="J360" s="863">
        <f ca="1">IFERROR(__xludf.DUMMYFUNCTION("IMPORTRANGE(""https://docs.google.com/spreadsheets/d/1XWAQStnk-4SwqDmLtmXYiTMKHgktTP8We1SCoS47DrQ/edit?usp=sharing"",""จัดที่ดิน!Y48"")"),59)</f>
        <v>59</v>
      </c>
      <c r="K360" s="864">
        <f t="shared" ca="1" si="161"/>
        <v>13.409090909090908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IFERROR(__xludf.DUMMYFUNCTION("IMPORTRANGE(""https://docs.google.com/spreadsheets/d/1XWAQStnk-4SwqDmLtmXYiTMKHgktTP8We1SCoS47DrQ/edit?usp=sharing"",""จัดที่ดิน!Z48"")"),672.36)</f>
        <v>672.36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IFERROR(__xludf.DUMMYFUNCTION("IMPORTRANGE(""https://docs.google.com/spreadsheets/d/1QqKyyYR6Q21VydFLVH3TRQUabQu_ym0Zz7PgGX0-kHA/edit?usp=sharing"",""แผน!EP48"")"),440)</f>
        <v>440</v>
      </c>
      <c r="J362" s="863">
        <f ca="1">IFERROR(__xludf.DUMMYFUNCTION("IMPORTRANGE(""https://docs.google.com/spreadsheets/d/1XWAQStnk-4SwqDmLtmXYiTMKHgktTP8We1SCoS47DrQ/edit?usp=sharing"",""จัดที่ดิน!AA48"")"),59)</f>
        <v>59</v>
      </c>
      <c r="K362" s="864">
        <f t="shared" ca="1" si="161"/>
        <v>13.409090909090908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IFERROR(__xludf.DUMMYFUNCTION("IMPORTRANGE(""https://docs.google.com/spreadsheets/d/1XWAQStnk-4SwqDmLtmXYiTMKHgktTP8We1SCoS47DrQ/edit?usp=sharing"",""จัดที่ดิน!AB48"")"),672.36)</f>
        <v>672.36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560</v>
      </c>
      <c r="J364" s="1199">
        <f t="shared" ca="1" si="162"/>
        <v>77</v>
      </c>
      <c r="K364" s="1200">
        <f t="shared" ca="1" si="161"/>
        <v>13.75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IFERROR(__xludf.DUMMYFUNCTION("IMPORTRANGE(""https://docs.google.com/spreadsheets/d/1QqKyyYR6Q21VydFLVH3TRQUabQu_ym0Zz7PgGX0-kHA/edit?usp=sharing"",""แผน!EJ48"")"),40)</f>
        <v>40</v>
      </c>
      <c r="J365" s="1207">
        <f ca="1">J372</f>
        <v>6</v>
      </c>
      <c r="K365" s="1208">
        <f t="shared" ca="1" si="161"/>
        <v>15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IFERROR(__xludf.DUMMYFUNCTION("IMPORTRANGE(""https://docs.google.com/spreadsheets/d/1XWAQStnk-4SwqDmLtmXYiTMKHgktTP8We1SCoS47DrQ/edit?usp=sharing"",""จัดที่ดิน!E48"")"),72)</f>
        <v>72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IFERROR(__xludf.DUMMYFUNCTION("IMPORTRANGE(""https://docs.google.com/spreadsheets/d/1QqKyyYR6Q21VydFLVH3TRQUabQu_ym0Zz7PgGX0-kHA/edit?usp=sharing"",""แผน!EI48"")"),500)</f>
        <v>500</v>
      </c>
      <c r="J369" s="863">
        <f ca="1">IFERROR(__xludf.DUMMYFUNCTION("IMPORTRANGE(""https://docs.google.com/spreadsheets/d/1XWAQStnk-4SwqDmLtmXYiTMKHgktTP8We1SCoS47DrQ/edit?usp=sharing"",""จัดที่ดิน!F48"")"),544.64)</f>
        <v>544.64</v>
      </c>
      <c r="K369" s="864">
        <f t="shared" ca="1" si="163"/>
        <v>108.928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IFERROR(__xludf.DUMMYFUNCTION("IMPORTRANGE(""https://docs.google.com/spreadsheets/d/1QqKyyYR6Q21VydFLVH3TRQUabQu_ym0Zz7PgGX0-kHA/edit?usp=sharing"",""แผน!EJ48"")"),40)</f>
        <v>40</v>
      </c>
      <c r="J370" s="863">
        <f ca="1">IFERROR(__xludf.DUMMYFUNCTION("IMPORTRANGE(""https://docs.google.com/spreadsheets/d/1XWAQStnk-4SwqDmLtmXYiTMKHgktTP8We1SCoS47DrQ/edit?usp=sharing"",""จัดที่ดิน!G48"")"),6)</f>
        <v>6</v>
      </c>
      <c r="K370" s="864">
        <f t="shared" ca="1" si="163"/>
        <v>15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IFERROR(__xludf.DUMMYFUNCTION("IMPORTRANGE(""https://docs.google.com/spreadsheets/d/1XWAQStnk-4SwqDmLtmXYiTMKHgktTP8We1SCoS47DrQ/edit?usp=sharing"",""จัดที่ดิน!H48"")"),112.36)</f>
        <v>112.36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IFERROR(__xludf.DUMMYFUNCTION("IMPORTRANGE(""https://docs.google.com/spreadsheets/d/1QqKyyYR6Q21VydFLVH3TRQUabQu_ym0Zz7PgGX0-kHA/edit?usp=sharing"",""แผน!EJ48"")"),40)</f>
        <v>40</v>
      </c>
      <c r="J372" s="863">
        <f ca="1">IFERROR(__xludf.DUMMYFUNCTION("IMPORTRANGE(""https://docs.google.com/spreadsheets/d/1XWAQStnk-4SwqDmLtmXYiTMKHgktTP8We1SCoS47DrQ/edit?usp=sharing"",""จัดที่ดิน!I48"")"),6)</f>
        <v>6</v>
      </c>
      <c r="K372" s="864">
        <f t="shared" ca="1" si="163"/>
        <v>15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IFERROR(__xludf.DUMMYFUNCTION("IMPORTRANGE(""https://docs.google.com/spreadsheets/d/1XWAQStnk-4SwqDmLtmXYiTMKHgktTP8We1SCoS47DrQ/edit?usp=sharing"",""จัดที่ดิน!J48"")"),112.36)</f>
        <v>112.36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IFERROR(__xludf.DUMMYFUNCTION("IMPORTRANGE(""https://docs.google.com/spreadsheets/d/1QqKyyYR6Q21VydFLVH3TRQUabQu_ym0Zz7PgGX0-kHA/edit?usp=sharing"",""แผน!EU48"")"),520)</f>
        <v>520</v>
      </c>
      <c r="J374" s="1207">
        <f ca="1">J381</f>
        <v>71</v>
      </c>
      <c r="K374" s="1208">
        <f t="shared" ca="1" si="163"/>
        <v>13.653846153846153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IFERROR(__xludf.DUMMYFUNCTION("IMPORTRANGE(""https://docs.google.com/spreadsheets/d/1XWAQStnk-4SwqDmLtmXYiTMKHgktTP8We1SCoS47DrQ/edit?usp=sharing"",""จัดที่ดิน!AH48"")"),53)</f>
        <v>53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IFERROR(__xludf.DUMMYFUNCTION("IMPORTRANGE(""https://docs.google.com/spreadsheets/d/1QqKyyYR6Q21VydFLVH3TRQUabQu_ym0Zz7PgGX0-kHA/edit?usp=sharing"",""แผน!ET48"")"),4000)</f>
        <v>4000</v>
      </c>
      <c r="J378" s="863">
        <f ca="1">IFERROR(__xludf.DUMMYFUNCTION("IMPORTRANGE(""https://docs.google.com/spreadsheets/d/1XWAQStnk-4SwqDmLtmXYiTMKHgktTP8We1SCoS47DrQ/edit?usp=sharing"",""จัดที่ดิน!AI48"")"),560)</f>
        <v>560</v>
      </c>
      <c r="K378" s="864">
        <f t="shared" ca="1" si="164"/>
        <v>14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IFERROR(__xludf.DUMMYFUNCTION("IMPORTRANGE(""https://docs.google.com/spreadsheets/d/1QqKyyYR6Q21VydFLVH3TRQUabQu_ym0Zz7PgGX0-kHA/edit?usp=sharing"",""แผน!EU48"")"),520)</f>
        <v>520</v>
      </c>
      <c r="J379" s="863">
        <f ca="1">IFERROR(__xludf.DUMMYFUNCTION("IMPORTRANGE(""https://docs.google.com/spreadsheets/d/1XWAQStnk-4SwqDmLtmXYiTMKHgktTP8We1SCoS47DrQ/edit?usp=sharing"",""จัดที่ดิน!AJ48"")"),71)</f>
        <v>71</v>
      </c>
      <c r="K379" s="864">
        <f t="shared" ca="1" si="164"/>
        <v>13.653846153846153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IFERROR(__xludf.DUMMYFUNCTION("IMPORTRANGE(""https://docs.google.com/spreadsheets/d/1XWAQStnk-4SwqDmLtmXYiTMKHgktTP8We1SCoS47DrQ/edit?usp=sharing"",""จัดที่ดิน!AK48"")"),849.18)</f>
        <v>849.18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IFERROR(__xludf.DUMMYFUNCTION("IMPORTRANGE(""https://docs.google.com/spreadsheets/d/1QqKyyYR6Q21VydFLVH3TRQUabQu_ym0Zz7PgGX0-kHA/edit?usp=sharing"",""แผน!EU48"")"),520)</f>
        <v>520</v>
      </c>
      <c r="J381" s="863">
        <f ca="1">IFERROR(__xludf.DUMMYFUNCTION("IMPORTRANGE(""https://docs.google.com/spreadsheets/d/1XWAQStnk-4SwqDmLtmXYiTMKHgktTP8We1SCoS47DrQ/edit?usp=sharing"",""จัดที่ดิน!AL48"")"),71)</f>
        <v>71</v>
      </c>
      <c r="K381" s="864">
        <f t="shared" ca="1" si="164"/>
        <v>13.653846153846153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IFERROR(__xludf.DUMMYFUNCTION("IMPORTRANGE(""https://docs.google.com/spreadsheets/d/1XWAQStnk-4SwqDmLtmXYiTMKHgktTP8We1SCoS47DrQ/edit?usp=sharing"",""จัดที่ดิน!AM48"")"),849.18)</f>
        <v>849.18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IFERROR(__xludf.DUMMYFUNCTION("IMPORTRANGE(""https://docs.google.com/spreadsheets/d/1QqKyyYR6Q21VydFLVH3TRQUabQu_ym0Zz7PgGX0-kHA/edit?usp=sharing"",""แผน!EW48"")"),30)</f>
        <v>30</v>
      </c>
      <c r="J385" s="1117">
        <f ca="1">IFERROR(__xludf.DUMMYFUNCTION("IMPORTRANGE(""https://docs.google.com/spreadsheets/d/1XWAQStnk-4SwqDmLtmXYiTMKHgktTP8We1SCoS47DrQ/edit?usp=sharing"",""จัดที่ดิน!AP48"")"),0)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IFERROR(__xludf.DUMMYFUNCTION("IMPORTRANGE(""https://docs.google.com/spreadsheets/d/1MeEWN-I1oV_STSDYn1IFDPWt_1FKiwhDph83XaGc0o0/edit?usp=sharing"",""งบพรบ!FG48"")"),0)</f>
        <v>0</v>
      </c>
      <c r="M394" s="870">
        <f ca="1">IFERROR(__xludf.DUMMYFUNCTION("IMPORTRANGE(""https://docs.google.com/spreadsheets/d/1MeEWN-I1oV_STSDYn1IFDPWt_1FKiwhDph83XaGc0o0/edit?usp=sharing"",""งบพรบ!FL48"")"),0)</f>
        <v>0</v>
      </c>
      <c r="N394" s="870">
        <f ca="1">IFERROR(__xludf.DUMMYFUNCTION("IMPORTRANGE(""https://docs.google.com/spreadsheets/d/1MeEWN-I1oV_STSDYn1IFDPWt_1FKiwhDph83XaGc0o0/edit?usp=sharing"",""งบพรบ!FN48"")"),0)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IFERROR(__xludf.DUMMYFUNCTION("IMPORTRANGE(""https://docs.google.com/spreadsheets/d/1MeEWN-I1oV_STSDYn1IFDPWt_1FKiwhDph83XaGc0o0/edit?usp=sharing"",""งบพรบ!FJ48"")"),0)</f>
        <v>0</v>
      </c>
      <c r="M397" s="870">
        <f ca="1">IFERROR(__xludf.DUMMYFUNCTION("IMPORTRANGE(""https://docs.google.com/spreadsheets/d/1MeEWN-I1oV_STSDYn1IFDPWt_1FKiwhDph83XaGc0o0/edit?usp=sharing"",""งบพรบ!FM48"")"),0)</f>
        <v>0</v>
      </c>
      <c r="N397" s="870">
        <f ca="1">IFERROR(__xludf.DUMMYFUNCTION("IMPORTRANGE(""https://docs.google.com/spreadsheets/d/1MeEWN-I1oV_STSDYn1IFDPWt_1FKiwhDph83XaGc0o0/edit?usp=sharing"",""งบพรบ!FO48"")"),0)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IFERROR(__xludf.DUMMYFUNCTION("IMPORTRANGE(""https://docs.google.com/spreadsheets/d/1MeEWN-I1oV_STSDYn1IFDPWt_1FKiwhDph83XaGc0o0/edit?usp=sharing"",""งบพรบ!FQ48"")"),0)</f>
        <v>0</v>
      </c>
      <c r="M407" s="870">
        <f ca="1">IFERROR(__xludf.DUMMYFUNCTION("IMPORTRANGE(""https://docs.google.com/spreadsheets/d/1MeEWN-I1oV_STSDYn1IFDPWt_1FKiwhDph83XaGc0o0/edit?usp=sharing"",""งบพรบ!FV48"")"),0)</f>
        <v>0</v>
      </c>
      <c r="N407" s="870">
        <f ca="1">IFERROR(__xludf.DUMMYFUNCTION("IMPORTRANGE(""https://docs.google.com/spreadsheets/d/1MeEWN-I1oV_STSDYn1IFDPWt_1FKiwhDph83XaGc0o0/edit?usp=sharing"",""งบพรบ!FX48"")"),0)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IFERROR(__xludf.DUMMYFUNCTION("IMPORTRANGE(""https://docs.google.com/spreadsheets/d/1MeEWN-I1oV_STSDYn1IFDPWt_1FKiwhDph83XaGc0o0/edit?usp=sharing"",""งบพรบ!FT48"")"),0)</f>
        <v>0</v>
      </c>
      <c r="M410" s="870">
        <f ca="1">IFERROR(__xludf.DUMMYFUNCTION("IMPORTRANGE(""https://docs.google.com/spreadsheets/d/1MeEWN-I1oV_STSDYn1IFDPWt_1FKiwhDph83XaGc0o0/edit?usp=sharing"",""งบพรบ!FW48"")"),0)</f>
        <v>0</v>
      </c>
      <c r="N410" s="870">
        <f ca="1">IFERROR(__xludf.DUMMYFUNCTION("IMPORTRANGE(""https://docs.google.com/spreadsheets/d/1MeEWN-I1oV_STSDYn1IFDPWt_1FKiwhDph83XaGc0o0/edit?usp=sharing"",""งบพรบ!FY48"")"),0)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2876576</v>
      </c>
      <c r="M414" s="1257">
        <f t="shared" si="181"/>
        <v>0</v>
      </c>
      <c r="N414" s="1257">
        <f t="shared" si="181"/>
        <v>855521.58</v>
      </c>
      <c r="O414" s="1257">
        <f ca="1">IF(L414&gt;0,N414*100/L414,0)</f>
        <v>29.740969124403456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20</v>
      </c>
      <c r="J417" s="1270">
        <f t="shared" ca="1" si="182"/>
        <v>20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78660</v>
      </c>
      <c r="M419" s="972">
        <f t="shared" si="184"/>
        <v>0</v>
      </c>
      <c r="N419" s="972">
        <f t="shared" si="184"/>
        <v>39574</v>
      </c>
      <c r="O419" s="972">
        <f t="shared" ref="O419:O424" ca="1" si="185">IF(L419&gt;0,N419*100/L419,0)</f>
        <v>50.310195779303328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78660</v>
      </c>
      <c r="M421" s="870">
        <f t="shared" si="187"/>
        <v>0</v>
      </c>
      <c r="N421" s="870">
        <f t="shared" si="187"/>
        <v>39574</v>
      </c>
      <c r="O421" s="870">
        <f t="shared" ca="1" si="185"/>
        <v>50.310195779303328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78660</v>
      </c>
      <c r="M422" s="864">
        <f t="shared" si="188"/>
        <v>0</v>
      </c>
      <c r="N422" s="864">
        <f t="shared" si="188"/>
        <v>39574</v>
      </c>
      <c r="O422" s="864">
        <f t="shared" ca="1" si="185"/>
        <v>50.310195779303328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IFERROR(__xludf.DUMMYFUNCTION("IMPORTRANGE(""https://docs.google.com/spreadsheets/d/1QqKyyYR6Q21VydFLVH3TRQUabQu_ym0Zz7PgGX0-kHA/edit?usp=sharing"",""แผน!EY48"")"),78660)</f>
        <v>78660</v>
      </c>
      <c r="M424" s="870">
        <v>0</v>
      </c>
      <c r="N424" s="870">
        <f>N425+N426+N427+N428</f>
        <v>39574</v>
      </c>
      <c r="O424" s="870">
        <f t="shared" ca="1" si="185"/>
        <v>50.310195779303328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39574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v>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IFERROR(__xludf.DUMMYFUNCTION("IMPORTRANGE(""https://docs.google.com/spreadsheets/d/1QqKyyYR6Q21VydFLVH3TRQUabQu_ym0Zz7PgGX0-kHA/edit?usp=sharing"",""แผน!FB48"")"),0)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20</v>
      </c>
      <c r="J433" s="999">
        <f ca="1">IF(AND(J435=I435,J437=I437,J439=I439),I437+I439,IF(AND(J435=I437,J437=I437),I437,IF(AND(J435=I439,J439=I439),I439,0)))</f>
        <v>20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IFERROR(__xludf.DUMMYFUNCTION("IMPORTRANGE(""https://docs.google.com/spreadsheets/d/1QqKyyYR6Q21VydFLVH3TRQUabQu_ym0Zz7PgGX0-kHA/edit?usp=sharing"",""แผน!FC48"")"),20)</f>
        <v>20</v>
      </c>
      <c r="J435" s="578">
        <v>20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IFERROR(__xludf.DUMMYFUNCTION("IMPORTRANGE(""https://docs.google.com/spreadsheets/d/1QqKyyYR6Q21VydFLVH3TRQUabQu_ym0Zz7PgGX0-kHA/edit?usp=sharing"",""แผน!FD48"")"),0)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IFERROR(__xludf.DUMMYFUNCTION("IMPORTRANGE(""https://docs.google.com/spreadsheets/d/1QqKyyYR6Q21VydFLVH3TRQUabQu_ym0Zz7PgGX0-kHA/edit?usp=sharing"",""แผน!FE48"")"),0)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IFERROR(__xludf.DUMMYFUNCTION("IMPORTRANGE(""https://docs.google.com/spreadsheets/d/1QqKyyYR6Q21VydFLVH3TRQUabQu_ym0Zz7PgGX0-kHA/edit?usp=sharing"",""แผน!FF48"")"),20)</f>
        <v>20</v>
      </c>
      <c r="J439" s="578">
        <v>20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IFERROR(__xludf.DUMMYFUNCTION("IMPORTRANGE(""https://docs.google.com/spreadsheets/d/1QqKyyYR6Q21VydFLVH3TRQUabQu_ym0Zz7PgGX0-kHA/edit?usp=sharing"",""แผน!FG48"")"),1)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IFERROR(__xludf.DUMMYFUNCTION("IMPORTRANGE(""https://docs.google.com/spreadsheets/d/1QqKyyYR6Q21VydFLVH3TRQUabQu_ym0Zz7PgGX0-kHA/edit?usp=sharing"",""แผน!FH48"")"),0)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50</v>
      </c>
      <c r="J442" s="1285">
        <f t="shared" si="195"/>
        <v>21</v>
      </c>
      <c r="K442" s="1286">
        <f t="shared" ca="1" si="194"/>
        <v>42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150</v>
      </c>
      <c r="J443" s="1270">
        <f t="shared" si="196"/>
        <v>63</v>
      </c>
      <c r="K443" s="1271">
        <f t="shared" ca="1" si="194"/>
        <v>42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460706</v>
      </c>
      <c r="M444" s="1000">
        <f t="shared" si="197"/>
        <v>0</v>
      </c>
      <c r="N444" s="1000">
        <f t="shared" si="197"/>
        <v>173800</v>
      </c>
      <c r="O444" s="1000">
        <f t="shared" ref="O444:O449" ca="1" si="198">IF(L444&gt;0,N444*100/L444,0)</f>
        <v>37.724709467643137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460706</v>
      </c>
      <c r="M446" s="870">
        <f t="shared" si="200"/>
        <v>0</v>
      </c>
      <c r="N446" s="870">
        <f t="shared" si="200"/>
        <v>173800</v>
      </c>
      <c r="O446" s="870">
        <f t="shared" ca="1" si="198"/>
        <v>37.724709467643137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460706</v>
      </c>
      <c r="M447" s="864">
        <f t="shared" si="201"/>
        <v>0</v>
      </c>
      <c r="N447" s="864">
        <f t="shared" si="201"/>
        <v>173800</v>
      </c>
      <c r="O447" s="864">
        <f t="shared" ca="1" si="198"/>
        <v>37.724709467643137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IFERROR(__xludf.DUMMYFUNCTION("IMPORTRANGE(""https://docs.google.com/spreadsheets/d/1QqKyyYR6Q21VydFLVH3TRQUabQu_ym0Zz7PgGX0-kHA/edit?usp=sharing"",""แผน!FJ48"")"),460706)</f>
        <v>460706</v>
      </c>
      <c r="M449" s="870">
        <v>0</v>
      </c>
      <c r="N449" s="870">
        <f>N450+N451+N452+N453</f>
        <v>173800</v>
      </c>
      <c r="O449" s="870">
        <f t="shared" ca="1" si="198"/>
        <v>37.724709467643137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44100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72160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v>5540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IFERROR(__xludf.DUMMYFUNCTION("IMPORTRANGE(""https://docs.google.com/spreadsheets/d/1QqKyyYR6Q21VydFLVH3TRQUabQu_ym0Zz7PgGX0-kHA/edit?usp=sharing"",""แผน!FM48"")"),0)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IFERROR(__xludf.DUMMYFUNCTION("IMPORTRANGE(""https://docs.google.com/spreadsheets/d/1QqKyyYR6Q21VydFLVH3TRQUabQu_ym0Zz7PgGX0-kHA/edit?usp=sharing"",""แผน!FN48"")"),50)</f>
        <v>50</v>
      </c>
      <c r="J460" s="992">
        <v>21</v>
      </c>
      <c r="K460" s="864">
        <f ca="1">IF(I460&gt;0,J460*100/I460,0)</f>
        <v>42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IFERROR(__xludf.DUMMYFUNCTION("IMPORTRANGE(""https://docs.google.com/spreadsheets/d/1QqKyyYR6Q21VydFLVH3TRQUabQu_ym0Zz7PgGX0-kHA/edit?usp=sharing"",""แผน!FO48"")"),150)</f>
        <v>150</v>
      </c>
      <c r="J462" s="992">
        <v>63</v>
      </c>
      <c r="K462" s="864">
        <f ca="1">IF(I462&gt;0,J462*100/I462,0)</f>
        <v>42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IFERROR(__xludf.DUMMYFUNCTION("IMPORTRANGE(""https://docs.google.com/spreadsheets/d/1QqKyyYR6Q21VydFLVH3TRQUabQu_ym0Zz7PgGX0-kHA/edit?usp=sharing"",""แผน!FO48"")"),150)</f>
        <v>150</v>
      </c>
      <c r="J463" s="992">
        <v>63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IFERROR(__xludf.DUMMYFUNCTION("IMPORTRANGE(""https://docs.google.com/spreadsheets/d/1QqKyyYR6Q21VydFLVH3TRQUabQu_ym0Zz7PgGX0-kHA/edit?usp=sharing"",""แผน!FN48"")"),50)</f>
        <v>50</v>
      </c>
      <c r="J464" s="992">
        <v>21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IFERROR(__xludf.DUMMYFUNCTION("IMPORTRANGE(""https://docs.google.com/spreadsheets/d/1QqKyyYR6Q21VydFLVH3TRQUabQu_ym0Zz7PgGX0-kHA/edit?usp=sharing"",""แผน!FX48"")"),131)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IFERROR(__xludf.DUMMYFUNCTION("IMPORTRANGE(""https://docs.google.com/spreadsheets/d/1QqKyyYR6Q21VydFLVH3TRQUabQu_ym0Zz7PgGX0-kHA/edit?usp=sharing"",""แผน!FW48"")"),1300)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1172208</v>
      </c>
      <c r="M467" s="1000">
        <f t="shared" si="206"/>
        <v>0</v>
      </c>
      <c r="N467" s="1000">
        <f t="shared" si="206"/>
        <v>217907</v>
      </c>
      <c r="O467" s="1000">
        <f t="shared" ref="O467:O472" ca="1" si="207">IF(L467&gt;0,N467*100/L467,0)</f>
        <v>18.589448289040853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1172208</v>
      </c>
      <c r="M469" s="870">
        <f t="shared" si="209"/>
        <v>0</v>
      </c>
      <c r="N469" s="870">
        <f t="shared" si="209"/>
        <v>217907</v>
      </c>
      <c r="O469" s="870">
        <f t="shared" ca="1" si="207"/>
        <v>18.589448289040853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1172208</v>
      </c>
      <c r="M470" s="864">
        <f t="shared" si="210"/>
        <v>0</v>
      </c>
      <c r="N470" s="864">
        <f t="shared" si="210"/>
        <v>217907</v>
      </c>
      <c r="O470" s="864">
        <f t="shared" ca="1" si="207"/>
        <v>18.589448289040853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IFERROR(__xludf.DUMMYFUNCTION("IMPORTRANGE(""https://docs.google.com/spreadsheets/d/1QqKyyYR6Q21VydFLVH3TRQUabQu_ym0Zz7PgGX0-kHA/edit?usp=sharing"",""แผน!FS48"")"),1172208)</f>
        <v>1172208</v>
      </c>
      <c r="M472" s="870">
        <v>0</v>
      </c>
      <c r="N472" s="870">
        <f>N473+N474+N475+N476</f>
        <v>217907</v>
      </c>
      <c r="O472" s="870">
        <f t="shared" ca="1" si="207"/>
        <v>18.589448289040853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154247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52000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v>11660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IFERROR(__xludf.DUMMYFUNCTION("IMPORTRANGE(""https://docs.google.com/spreadsheets/d/1QqKyyYR6Q21VydFLVH3TRQUabQu_ym0Zz7PgGX0-kHA/edit?usp=sharing"",""แผน!FV48"")"),0)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IFERROR(__xludf.DUMMYFUNCTION("IMPORTRANGE(""https://docs.google.com/spreadsheets/d/1QqKyyYR6Q21VydFLVH3TRQUabQu_ym0Zz7PgGX0-kHA/edit?usp=sharing"",""แผน!FY48"")"),1170)</f>
        <v>1170</v>
      </c>
      <c r="J483" s="992">
        <v>0</v>
      </c>
      <c r="K483" s="864">
        <f ca="1">IF(I483&gt;0,J483*100/I483,0)</f>
        <v>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0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IFERROR(__xludf.DUMMYFUNCTION("IMPORTRANGE(""https://docs.google.com/spreadsheets/d/1QqKyyYR6Q21VydFLVH3TRQUabQu_ym0Zz7PgGX0-kHA/edit?usp=sharing"",""แผน!FZ48"")"),117)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IFERROR(__xludf.DUMMYFUNCTION("IMPORTRANGE(""https://docs.google.com/spreadsheets/d/1QqKyyYR6Q21VydFLVH3TRQUabQu_ym0Zz7PgGX0-kHA/edit?usp=sharing"",""แผน!GA48"")"),130)</f>
        <v>130</v>
      </c>
      <c r="J487" s="992">
        <v>0</v>
      </c>
      <c r="K487" s="864">
        <f ca="1">IF(I487&gt;0,J487*100/I487,0)</f>
        <v>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IFERROR(__xludf.DUMMYFUNCTION("IMPORTRANGE(""https://docs.google.com/spreadsheets/d/1QqKyyYR6Q21VydFLVH3TRQUabQu_ym0Zz7PgGX0-kHA/edit?usp=sharing"",""แผน!GB48"")"),13)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0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IFERROR(__xludf.DUMMYFUNCTION("IMPORTRANGE(""https://docs.google.com/spreadsheets/d/1QqKyyYR6Q21VydFLVH3TRQUabQu_ym0Zz7PgGX0-kHA/edit?usp=sharing"",""แผน!GC48"")"),1)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IFERROR(__xludf.DUMMYFUNCTION("IMPORTRANGE(""https://docs.google.com/spreadsheets/d/1QqKyyYR6Q21VydFLVH3TRQUabQu_ym0Zz7PgGX0-kHA/edit?usp=sharing"",""แผน!FY48"")"),1170)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IFERROR(__xludf.DUMMYFUNCTION("IMPORTRANGE(""https://docs.google.com/spreadsheets/d/1QqKyyYR6Q21VydFLVH3TRQUabQu_ym0Zz7PgGX0-kHA/edit?usp=sharing"",""แผน!GA48"")"),130)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IFERROR(__xludf.DUMMYFUNCTION("IMPORTRANGE(""https://docs.google.com/spreadsheets/d/1QqKyyYR6Q21VydFLVH3TRQUabQu_ym0Zz7PgGX0-kHA/edit?usp=sharing"",""แผน!GQ48"")"),0)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IFERROR(__xludf.DUMMYFUNCTION("IMPORTRANGE(""https://docs.google.com/spreadsheets/d/1QqKyyYR6Q21VydFLVH3TRQUabQu_ym0Zz7PgGX0-kHA/edit?usp=sharing"",""แผน!GT48"")"),0)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IFERROR(__xludf.DUMMYFUNCTION("IMPORTRANGE(""https://docs.google.com/spreadsheets/d/1QqKyyYR6Q21VydFLVH3TRQUabQu_ym0Zz7PgGX0-kHA/edit?usp=sharing"",""แผน!GU48"")"),0)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IFERROR(__xludf.DUMMYFUNCTION("IMPORTRANGE(""https://docs.google.com/spreadsheets/d/1QqKyyYR6Q21VydFLVH3TRQUabQu_ym0Zz7PgGX0-kHA/edit?usp=sharing"",""แผน!GV48"")"),0)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IFERROR(__xludf.DUMMYFUNCTION("IMPORTRANGE(""https://docs.google.com/spreadsheets/d/1QqKyyYR6Q21VydFLVH3TRQUabQu_ym0Zz7PgGX0-kHA/edit?usp=sharing"",""แผน!GW48"")"),0)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IFERROR(__xludf.DUMMYFUNCTION("IMPORTRANGE(""https://docs.google.com/spreadsheets/d/1QqKyyYR6Q21VydFLVH3TRQUabQu_ym0Zz7PgGX0-kHA/edit?usp=sharing"",""แผน!GX48"")"),0)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IFERROR(__xludf.DUMMYFUNCTION("IMPORTRANGE(""https://docs.google.com/spreadsheets/d/1QqKyyYR6Q21VydFLVH3TRQUabQu_ym0Zz7PgGX0-kHA/edit?usp=sharing"",""แผน!GY48"")"),0)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IFERROR(__xludf.DUMMYFUNCTION("IMPORTRANGE(""https://docs.google.com/spreadsheets/d/1QqKyyYR6Q21VydFLVH3TRQUabQu_ym0Zz7PgGX0-kHA/edit?usp=sharing"",""แผน!GZ48"")"),0)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41140</v>
      </c>
      <c r="J543" s="1357">
        <f t="shared" si="235"/>
        <v>0</v>
      </c>
      <c r="K543" s="1358">
        <f t="shared" ca="1" si="234"/>
        <v>0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514752</v>
      </c>
      <c r="M544" s="972">
        <f t="shared" si="236"/>
        <v>0</v>
      </c>
      <c r="N544" s="972">
        <f t="shared" si="236"/>
        <v>108584</v>
      </c>
      <c r="O544" s="972">
        <f t="shared" ref="O544:O549" ca="1" si="237">IF(L544&gt;0,N544*100/L544,0)</f>
        <v>21.094429939077457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514752</v>
      </c>
      <c r="M546" s="870">
        <f t="shared" si="240"/>
        <v>0</v>
      </c>
      <c r="N546" s="870">
        <f t="shared" si="240"/>
        <v>108584</v>
      </c>
      <c r="O546" s="870">
        <f t="shared" ca="1" si="237"/>
        <v>21.094429939077457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514752</v>
      </c>
      <c r="M547" s="864">
        <f t="shared" si="241"/>
        <v>0</v>
      </c>
      <c r="N547" s="864">
        <f t="shared" si="241"/>
        <v>108584</v>
      </c>
      <c r="O547" s="864">
        <f t="shared" ca="1" si="237"/>
        <v>21.094429939077457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IFERROR(__xludf.DUMMYFUNCTION("IMPORTRANGE(""https://docs.google.com/spreadsheets/d/1QqKyyYR6Q21VydFLVH3TRQUabQu_ym0Zz7PgGX0-kHA/edit?usp=sharing"",""แผน!HB48"")"),514752)</f>
        <v>514752</v>
      </c>
      <c r="M549" s="870">
        <v>0</v>
      </c>
      <c r="N549" s="870">
        <f>N550+N551+N552+N553+N554</f>
        <v>108584</v>
      </c>
      <c r="O549" s="870">
        <f t="shared" ca="1" si="237"/>
        <v>21.094429939077457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v>56584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IFERROR(__xludf.DUMMYFUNCTION("IMPORTRANGE(""https://docs.google.com/spreadsheets/d/1QqKyyYR6Q21VydFLVH3TRQUabQu_ym0Zz7PgGX0-kHA/edit?usp=sharing"",""แผน!HF48"")"),0)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41140</v>
      </c>
      <c r="J559" s="1350">
        <f t="shared" si="245"/>
        <v>0</v>
      </c>
      <c r="K559" s="1351">
        <f t="shared" ref="K559:K561" ca="1" si="246">IF(I559&gt;0,J559*100/I559,0)</f>
        <v>0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IFERROR(__xludf.DUMMYFUNCTION("IMPORTRANGE(""https://docs.google.com/spreadsheets/d/1QqKyyYR6Q21VydFLVH3TRQUabQu_ym0Zz7PgGX0-kHA/edit?usp=sharing"",""แผน!HH48"")"),41140)</f>
        <v>41140</v>
      </c>
      <c r="J560" s="998">
        <f t="shared" ref="J560:J561" si="247">J562+J564+J566</f>
        <v>41143</v>
      </c>
      <c r="K560" s="1142">
        <f t="shared" ca="1" si="246"/>
        <v>100.00729217306757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IFERROR(__xludf.DUMMYFUNCTION("IMPORTRANGE(""https://docs.google.com/spreadsheets/d/1QqKyyYR6Q21VydFLVH3TRQUabQu_ym0Zz7PgGX0-kHA/edit?usp=sharing"",""แผน!HG48"")"),4331)</f>
        <v>4331</v>
      </c>
      <c r="J561" s="998">
        <f t="shared" si="247"/>
        <v>4331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37135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4014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3124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234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884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83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IFERROR(__xludf.DUMMYFUNCTION("IMPORTRANGE(""https://docs.google.com/spreadsheets/d/1QqKyyYR6Q21VydFLVH3TRQUabQu_ym0Zz7PgGX0-kHA/edit?usp=sharing"",""แผน!HH48"")"),41140)</f>
        <v>41140</v>
      </c>
      <c r="J568" s="999">
        <f t="shared" ref="J568:J569" si="248">J570+J572+J574</f>
        <v>0</v>
      </c>
      <c r="K568" s="1142">
        <f t="shared" ref="K568:K569" ca="1" si="249">IF(I568&gt;0,J568*100/I568,0)</f>
        <v>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IFERROR(__xludf.DUMMYFUNCTION("IMPORTRANGE(""https://docs.google.com/spreadsheets/d/1QqKyyYR6Q21VydFLVH3TRQUabQu_ym0Zz7PgGX0-kHA/edit?usp=sharing"",""แผน!HG48"")"),4331)</f>
        <v>4331</v>
      </c>
      <c r="J569" s="999">
        <f t="shared" si="248"/>
        <v>0</v>
      </c>
      <c r="K569" s="1142">
        <f t="shared" ca="1" si="249"/>
        <v>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0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0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0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0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IFERROR(__xludf.DUMMYFUNCTION("IMPORTRANGE(""https://docs.google.com/spreadsheets/d/1QqKyyYR6Q21VydFLVH3TRQUabQu_ym0Zz7PgGX0-kHA/edit?usp=sharing"",""แผน!HH48"")"),41140)</f>
        <v>41140</v>
      </c>
      <c r="J576" s="999">
        <f t="shared" ref="J576:J577" si="250">J578+J580+J582+J588+J590</f>
        <v>0</v>
      </c>
      <c r="K576" s="1142">
        <f t="shared" ref="K576:K577" ca="1" si="251">IF(I576&gt;0,J576*100/I576,0)</f>
        <v>0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IFERROR(__xludf.DUMMYFUNCTION("IMPORTRANGE(""https://docs.google.com/spreadsheets/d/1QqKyyYR6Q21VydFLVH3TRQUabQu_ym0Zz7PgGX0-kHA/edit?usp=sharing"",""แผน!HG48"")"),4331)</f>
        <v>4331</v>
      </c>
      <c r="J577" s="999">
        <f t="shared" si="250"/>
        <v>0</v>
      </c>
      <c r="K577" s="1142">
        <f t="shared" ca="1" si="251"/>
        <v>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0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0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0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0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0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11282.62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IFERROR(__xludf.DUMMYFUNCTION("IMPORTRANGE(""https://docs.google.com/spreadsheets/d/1QqKyyYR6Q21VydFLVH3TRQUabQu_ym0Zz7PgGX0-kHA/edit?usp=sharing"",""แผน!HJ48"")"),11282.62)</f>
        <v>11282.62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IFERROR(__xludf.DUMMYFUNCTION("IMPORTRANGE(""https://docs.google.com/spreadsheets/d/1QqKyyYR6Q21VydFLVH3TRQUabQu_ym0Zz7PgGX0-kHA/edit?usp=sharing"",""แผน!HI48"")"),633)</f>
        <v>633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IFERROR(__xludf.DUMMYFUNCTION("IMPORTRANGE(""https://docs.google.com/spreadsheets/d/1QqKyyYR6Q21VydFLVH3TRQUabQu_ym0Zz7PgGX0-kHA/edit?usp=sharing"",""แผน!HL48"")"),44)</f>
        <v>44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IFERROR(__xludf.DUMMYFUNCTION("IMPORTRANGE(""https://docs.google.com/spreadsheets/d/1QqKyyYR6Q21VydFLVH3TRQUabQu_ym0Zz7PgGX0-kHA/edit?usp=sharing"",""แผน!HK48"")"),3)</f>
        <v>3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130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368210</v>
      </c>
      <c r="M629" s="1000">
        <f t="shared" si="263"/>
        <v>0</v>
      </c>
      <c r="N629" s="1000">
        <f t="shared" si="263"/>
        <v>172954.49</v>
      </c>
      <c r="O629" s="1000">
        <f t="shared" ref="O629:O634" ca="1" si="264">IF(L629&gt;0,N629*100/L629,0)</f>
        <v>46.971698215692129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368210</v>
      </c>
      <c r="M631" s="870">
        <f t="shared" si="266"/>
        <v>0</v>
      </c>
      <c r="N631" s="870">
        <f t="shared" si="266"/>
        <v>172954.49</v>
      </c>
      <c r="O631" s="870">
        <f t="shared" ca="1" si="264"/>
        <v>46.971698215692129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368210</v>
      </c>
      <c r="M632" s="864">
        <f t="shared" si="267"/>
        <v>0</v>
      </c>
      <c r="N632" s="864">
        <f t="shared" si="267"/>
        <v>172954.49</v>
      </c>
      <c r="O632" s="864">
        <f t="shared" ca="1" si="264"/>
        <v>46.971698215692129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IFERROR(__xludf.DUMMYFUNCTION("IMPORTRANGE(""https://docs.google.com/spreadsheets/d/1QqKyyYR6Q21VydFLVH3TRQUabQu_ym0Zz7PgGX0-kHA/edit?usp=sharing"",""แผน!HN48"")"),368210)</f>
        <v>368210</v>
      </c>
      <c r="M634" s="870">
        <v>0</v>
      </c>
      <c r="N634" s="870">
        <f>N635+N636+N637+N638</f>
        <v>172954.49</v>
      </c>
      <c r="O634" s="870">
        <f t="shared" ca="1" si="264"/>
        <v>46.971698215692129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51133.34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v>121821.15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IFERROR(__xludf.DUMMYFUNCTION("IMPORTRANGE(""https://docs.google.com/spreadsheets/d/1QqKyyYR6Q21VydFLVH3TRQUabQu_ym0Zz7PgGX0-kHA/edit?usp=sharing"",""แผน!HQ48"")"),0)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IFERROR(__xludf.DUMMYFUNCTION("IMPORTRANGE(""https://docs.google.com/spreadsheets/d/1QqKyyYR6Q21VydFLVH3TRQUabQu_ym0Zz7PgGX0-kHA/edit?usp=sharing"",""แผน!HR48"")"),0)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IFERROR(__xludf.DUMMYFUNCTION("IMPORTRANGE(""https://docs.google.com/spreadsheets/d/1QqKyyYR6Q21VydFLVH3TRQUabQu_ym0Zz7PgGX0-kHA/edit?usp=sharing"",""แผน!HR48"")"),0)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IFERROR(__xludf.DUMMYFUNCTION("IMPORTRANGE(""https://docs.google.com/spreadsheets/d/1XWAQStnk-4SwqDmLtmXYiTMKHgktTP8We1SCoS47DrQ/edit?usp=sharing"",""จัดที่ดิน!AS48"")"),117)</f>
        <v>117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IFERROR(__xludf.DUMMYFUNCTION("IMPORTRANGE(""https://docs.google.com/spreadsheets/d/1XWAQStnk-4SwqDmLtmXYiTMKHgktTP8We1SCoS47DrQ/edit?usp=sharing"",""จัดที่ดิน!AT48"")"),84.82)</f>
        <v>84.82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IFERROR(__xludf.DUMMYFUNCTION("IMPORTRANGE(""https://docs.google.com/spreadsheets/d/1QqKyyYR6Q21VydFLVH3TRQUabQu_ym0Zz7PgGX0-kHA/edit?usp=sharing"",""แผน!HS48"")"),130)</f>
        <v>130</v>
      </c>
      <c r="J647" s="863">
        <f ca="1">IFERROR(__xludf.DUMMYFUNCTION("IMPORTRANGE(""https://docs.google.com/spreadsheets/d/1XWAQStnk-4SwqDmLtmXYiTMKHgktTP8We1SCoS47DrQ/edit?usp=sharing"",""จัดที่ดิน!AU48"")"),70)</f>
        <v>70</v>
      </c>
      <c r="K647" s="978">
        <f t="shared" ca="1" si="271"/>
        <v>53.846153846153847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IFERROR(__xludf.DUMMYFUNCTION("IMPORTRANGE(""https://docs.google.com/spreadsheets/d/1XWAQStnk-4SwqDmLtmXYiTMKHgktTP8We1SCoS47DrQ/edit?usp=sharing"",""จัดที่ดิน!AV48"")"),55.16)</f>
        <v>55.16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IFERROR(__xludf.DUMMYFUNCTION("IMPORTRANGE(""https://docs.google.com/spreadsheets/d/1QqKyyYR6Q21VydFLVH3TRQUabQu_ym0Zz7PgGX0-kHA/edit?usp=sharing"",""แผน!HS48"")"),130)</f>
        <v>130</v>
      </c>
      <c r="J649" s="863">
        <f ca="1">IFERROR(__xludf.DUMMYFUNCTION("IMPORTRANGE(""https://docs.google.com/spreadsheets/d/1XWAQStnk-4SwqDmLtmXYiTMKHgktTP8We1SCoS47DrQ/edit?usp=sharing"",""จัดที่ดิน!AW48"")"),54)</f>
        <v>54</v>
      </c>
      <c r="K649" s="978">
        <f t="shared" ca="1" si="271"/>
        <v>41.53846153846154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IFERROR(__xludf.DUMMYFUNCTION("IMPORTRANGE(""https://docs.google.com/spreadsheets/d/1XWAQStnk-4SwqDmLtmXYiTMKHgktTP8We1SCoS47DrQ/edit?usp=sharing"",""จัดที่ดิน!AX48"")"),31.17)</f>
        <v>31.17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IFERROR(__xludf.DUMMYFUNCTION("IMPORTRANGE(""https://docs.google.com/spreadsheets/d/1QqKyyYR6Q21VydFLVH3TRQUabQu_ym0Zz7PgGX0-kHA/edit?usp=sharing"",""แผน!HS48"")"),130)</f>
        <v>130</v>
      </c>
      <c r="J651" s="863">
        <f ca="1">IFERROR(__xludf.DUMMYFUNCTION("IMPORTRANGE(""https://docs.google.com/spreadsheets/d/1XWAQStnk-4SwqDmLtmXYiTMKHgktTP8We1SCoS47DrQ/edit?usp=sharing"",""จัดที่ดิน!AY48"")"),0)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IFERROR(__xludf.DUMMYFUNCTION("IMPORTRANGE(""https://docs.google.com/spreadsheets/d/1XWAQStnk-4SwqDmLtmXYiTMKHgktTP8We1SCoS47DrQ/edit?usp=sharing"",""จัดที่ดิน!AZ48"")"),0)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12400</v>
      </c>
      <c r="M655" s="1000">
        <f t="shared" si="273"/>
        <v>0</v>
      </c>
      <c r="N655" s="1000">
        <f t="shared" si="273"/>
        <v>2000</v>
      </c>
      <c r="O655" s="1000">
        <f t="shared" ref="O655:O660" ca="1" si="274">IF(L655&gt;0,N655*100/L655,0)</f>
        <v>16.129032258064516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12400</v>
      </c>
      <c r="M657" s="870">
        <f t="shared" si="276"/>
        <v>0</v>
      </c>
      <c r="N657" s="870">
        <f t="shared" si="276"/>
        <v>2000</v>
      </c>
      <c r="O657" s="870">
        <f t="shared" ca="1" si="274"/>
        <v>16.129032258064516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12400</v>
      </c>
      <c r="M658" s="864">
        <f t="shared" si="277"/>
        <v>0</v>
      </c>
      <c r="N658" s="864">
        <f t="shared" si="277"/>
        <v>2000</v>
      </c>
      <c r="O658" s="864">
        <f t="shared" ca="1" si="274"/>
        <v>16.129032258064516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IFERROR(__xludf.DUMMYFUNCTION("IMPORTRANGE(""https://docs.google.com/spreadsheets/d/1QqKyyYR6Q21VydFLVH3TRQUabQu_ym0Zz7PgGX0-kHA/edit?usp=sharing"",""แผน!HV48"")"),12400)</f>
        <v>12400</v>
      </c>
      <c r="M660" s="870">
        <v>0</v>
      </c>
      <c r="N660" s="870">
        <f>N661+N662+N663+N664</f>
        <v>2000</v>
      </c>
      <c r="O660" s="870">
        <f t="shared" ca="1" si="274"/>
        <v>16.129032258064516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2000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IFERROR(__xludf.DUMMYFUNCTION("IMPORTRANGE(""https://docs.google.com/spreadsheets/d/1QqKyyYR6Q21VydFLVH3TRQUabQu_ym0Zz7PgGX0-kHA/edit?usp=sharing"",""แผน!IA48"")"),100)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IFERROR(__xludf.DUMMYFUNCTION("IMPORTRANGE(""https://docs.google.com/spreadsheets/d/1QqKyyYR6Q21VydFLVH3TRQUabQu_ym0Zz7PgGX0-kHA/edit?usp=sharing"",""แผน!HZ48"")"),4)</f>
        <v>4</v>
      </c>
      <c r="J670" s="992">
        <v>4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IFERROR(__xludf.DUMMYFUNCTION("IMPORTRANGE(""https://docs.google.com/spreadsheets/d/1QqKyyYR6Q21VydFLVH3TRQUabQu_ym0Zz7PgGX0-kHA/edit?usp=sharing"",""แผน!HZ48"")"),4)</f>
        <v>4</v>
      </c>
      <c r="J671" s="992">
        <v>4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IFERROR(__xludf.DUMMYFUNCTION("IMPORTRANGE(""https://docs.google.com/spreadsheets/d/1QqKyyYR6Q21VydFLVH3TRQUabQu_ym0Zz7PgGX0-kHA/edit?usp=sharing"",""แผน!IB48"")"),0)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3080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3080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3080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IFERROR(__xludf.DUMMYFUNCTION("IMPORTRANGE(""https://docs.google.com/spreadsheets/d/1QqKyyYR6Q21VydFLVH3TRQUabQu_ym0Zz7PgGX0-kHA/edit?usp=sharing"",""แผน!HW48"")"),3080)</f>
        <v>3080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IFERROR(__xludf.DUMMYFUNCTION("IMPORTRANGE(""https://docs.google.com/spreadsheets/d/1QqKyyYR6Q21VydFLVH3TRQUabQu_ym0Zz7PgGX0-kHA/edit?usp=sharing"",""แผน!IC48"")"),0)</f>
        <v>0</v>
      </c>
      <c r="J699" s="863">
        <f ca="1">IFERROR(__xludf.DUMMYFUNCTION("IMPORTRANGE(""https://docs.google.com/spreadsheets/d/1XWAQStnk-4SwqDmLtmXYiTMKHgktTP8We1SCoS47DrQ/edit?usp=sharing"",""จัดที่ดิน!BB48"")"),0)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IFERROR(__xludf.DUMMYFUNCTION("IMPORTRANGE(""https://docs.google.com/spreadsheets/d/1QqKyyYR6Q21VydFLVH3TRQUabQu_ym0Zz7PgGX0-kHA/edit?usp=sharing"",""แผน!ID48"")"),9)</f>
        <v>9</v>
      </c>
      <c r="J700" s="863">
        <f ca="1">IFERROR(__xludf.DUMMYFUNCTION("IMPORTRANGE(""https://docs.google.com/spreadsheets/d/1XWAQStnk-4SwqDmLtmXYiTMKHgktTP8We1SCoS47DrQ/edit?usp=sharing"",""จัดที่ดิน!BD48"")"),0)</f>
        <v>0</v>
      </c>
      <c r="K700" s="864">
        <f t="shared" ca="1" si="290"/>
        <v>0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IFERROR(__xludf.DUMMYFUNCTION("IMPORTRANGE(""https://docs.google.com/spreadsheets/d/1QqKyyYR6Q21VydFLVH3TRQUabQu_ym0Zz7PgGX0-kHA/edit?usp=sharing"",""แผน!IE48"")"),0)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IFERROR(__xludf.DUMMYFUNCTION("IMPORTRANGE(""https://docs.google.com/spreadsheets/d/1QqKyyYR6Q21VydFLVH3TRQUabQu_ym0Zz7PgGX0-kHA/edit?usp=sharing"",""แผน!IF48"")"),0)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IFERROR(__xludf.DUMMYFUNCTION("IMPORTRANGE(""https://docs.google.com/spreadsheets/d/1QqKyyYR6Q21VydFLVH3TRQUabQu_ym0Zz7PgGX0-kHA/edit?usp=sharing"",""แผน!IG48"")"),0)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IFERROR(__xludf.DUMMYFUNCTION("IMPORTRANGE(""https://docs.google.com/spreadsheets/d/1QqKyyYR6Q21VydFLVH3TRQUabQu_ym0Zz7PgGX0-kHA/edit?usp=sharing"",""แผน!IH48"")"),0)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IFERROR(__xludf.DUMMYFUNCTION("IMPORTRANGE(""https://docs.google.com/spreadsheets/d/1XWAQStnk-4SwqDmLtmXYiTMKHgktTP8We1SCoS47DrQ/edit?usp=sharing"",""จัดที่ดิน!BF48"")"),0)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IFERROR(__xludf.DUMMYFUNCTION("IMPORTRANGE(""https://docs.google.com/spreadsheets/d/1XWAQStnk-4SwqDmLtmXYiTMKHgktTP8We1SCoS47DrQ/edit?usp=sharing"",""จัดที่ดิน!BG48"")"),0)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IFERROR(__xludf.DUMMYFUNCTION("IMPORTRANGE(""https://docs.google.com/spreadsheets/d/1QqKyyYR6Q21VydFLVH3TRQUabQu_ym0Zz7PgGX0-kHA/edit?usp=sharing"",""แผน!II48"")"),0)</f>
        <v>0</v>
      </c>
      <c r="J720" s="863">
        <f ca="1">IFERROR(__xludf.DUMMYFUNCTION("IMPORTRANGE(""https://docs.google.com/spreadsheets/d/1XWAQStnk-4SwqDmLtmXYiTMKHgktTP8We1SCoS47DrQ/edit?usp=sharing"",""จัดที่ดิน!BH48"")"),0)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IFERROR(__xludf.DUMMYFUNCTION("IMPORTRANGE(""https://docs.google.com/spreadsheets/d/1QqKyyYR6Q21VydFLVH3TRQUabQu_ym0Zz7PgGX0-kHA/edit?usp=sharing"",""แผน!IJ48"")"),0)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IFERROR(__xludf.DUMMYFUNCTION("IMPORTRANGE(""https://docs.google.com/spreadsheets/d/1QqKyyYR6Q21VydFLVH3TRQUabQu_ym0Zz7PgGX0-kHA/edit?usp=sharing"",""แผน!IK48"")"),0)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IFERROR(__xludf.DUMMYFUNCTION("IMPORTRANGE(""https://docs.google.com/spreadsheets/d/1QqKyyYR6Q21VydFLVH3TRQUabQu_ym0Zz7PgGX0-kHA/edit?usp=sharing"",""แผน!IL48"")"),0)</f>
        <v>0</v>
      </c>
      <c r="J723" s="863">
        <f ca="1">IFERROR(__xludf.DUMMYFUNCTION("IMPORTRANGE(""https://docs.google.com/spreadsheets/d/1XWAQStnk-4SwqDmLtmXYiTMKHgktTP8We1SCoS47DrQ/edit?usp=sharing"",""จัดที่ดิน!BM48"")"),0)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IFERROR(__xludf.DUMMYFUNCTION("IMPORTRANGE(""https://docs.google.com/spreadsheets/d/1XWAQStnk-4SwqDmLtmXYiTMKHgktTP8We1SCoS47DrQ/edit?usp=sharing"",""จัดที่ดิน!BN48"")"),0)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IFERROR(__xludf.DUMMYFUNCTION("IMPORTRANGE(""https://docs.google.com/spreadsheets/d/1QqKyyYR6Q21VydFLVH3TRQUabQu_ym0Zz7PgGX0-kHA/edit?usp=sharing"",""แผน!IM48"")"),0)</f>
        <v>0</v>
      </c>
      <c r="J725" s="863">
        <f ca="1">IFERROR(__xludf.DUMMYFUNCTION("IMPORTRANGE(""https://docs.google.com/spreadsheets/d/1XWAQStnk-4SwqDmLtmXYiTMKHgktTP8We1SCoS47DrQ/edit?usp=sharing"",""จัดที่ดิน!BO48"")"),0)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IFERROR(__xludf.DUMMYFUNCTION("IMPORTRANGE(""https://docs.google.com/spreadsheets/d/1QqKyyYR6Q21VydFLVH3TRQUabQu_ym0Zz7PgGX0-kHA/edit?usp=sharing"",""แผน!IN48"")"),0)</f>
        <v>0</v>
      </c>
      <c r="J726" s="863">
        <f ca="1">IFERROR(__xludf.DUMMYFUNCTION("IMPORTRANGE(""https://docs.google.com/spreadsheets/d/1XWAQStnk-4SwqDmLtmXYiTMKHgktTP8We1SCoS47DrQ/edit?usp=sharing"",""จัดที่ดิน!BR48"")"),0)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IFERROR(__xludf.DUMMYFUNCTION("IMPORTRANGE(""https://docs.google.com/spreadsheets/d/1XWAQStnk-4SwqDmLtmXYiTMKHgktTP8We1SCoS47DrQ/edit?usp=sharing"",""จัดที่ดิน!BS48"")"),0)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IFERROR(__xludf.DUMMYFUNCTION("IMPORTRANGE(""https://docs.google.com/spreadsheets/d/1QqKyyYR6Q21VydFLVH3TRQUabQu_ym0Zz7PgGX0-kHA/edit?usp=sharing"",""แผน!IO48"")"),0)</f>
        <v>0</v>
      </c>
      <c r="J728" s="863">
        <f ca="1">IFERROR(__xludf.DUMMYFUNCTION("IMPORTRANGE(""https://docs.google.com/spreadsheets/d/1XWAQStnk-4SwqDmLtmXYiTMKHgktTP8We1SCoS47DrQ/edit?usp=sharing"",""จัดที่ดิน!BT48"")"),0)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IFERROR(__xludf.DUMMYFUNCTION("IMPORTRANGE(""https://docs.google.com/spreadsheets/d/1QqKyyYR6Q21VydFLVH3TRQUabQu_ym0Zz7PgGX0-kHA/edit?usp=sharing"",""แผน!IP48"")"),10)</f>
        <v>10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4000</v>
      </c>
      <c r="J785" s="800">
        <f t="shared" ca="1" si="318"/>
        <v>1085</v>
      </c>
      <c r="K785" s="801">
        <f ca="1">IF(I785&gt;0,J785*100/I785,0)</f>
        <v>27.125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266560</v>
      </c>
      <c r="M786" s="1000">
        <f t="shared" si="319"/>
        <v>0</v>
      </c>
      <c r="N786" s="1000">
        <f t="shared" si="319"/>
        <v>140702.09</v>
      </c>
      <c r="O786" s="1000">
        <f t="shared" ref="O786:O791" ca="1" si="320">IF(L786&gt;0,N786*100/L786,0)</f>
        <v>52.784397509003604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266560</v>
      </c>
      <c r="M788" s="870">
        <f t="shared" si="322"/>
        <v>0</v>
      </c>
      <c r="N788" s="870">
        <f t="shared" si="322"/>
        <v>140702.09</v>
      </c>
      <c r="O788" s="870">
        <f t="shared" ca="1" si="320"/>
        <v>52.784397509003604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266560</v>
      </c>
      <c r="M789" s="864">
        <f t="shared" si="323"/>
        <v>0</v>
      </c>
      <c r="N789" s="864">
        <f t="shared" si="323"/>
        <v>140702.09</v>
      </c>
      <c r="O789" s="864">
        <f t="shared" ca="1" si="320"/>
        <v>52.784397509003604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IFERROR(__xludf.DUMMYFUNCTION("IMPORTRANGE(""https://docs.google.com/spreadsheets/d/1QqKyyYR6Q21VydFLVH3TRQUabQu_ym0Zz7PgGX0-kHA/edit?usp=sharing"",""แผน!JJ48"")"),266560)</f>
        <v>266560</v>
      </c>
      <c r="M791" s="870">
        <v>0</v>
      </c>
      <c r="N791" s="870">
        <f>N792+N793+N794+N795</f>
        <v>140702.09</v>
      </c>
      <c r="O791" s="870">
        <f t="shared" ca="1" si="320"/>
        <v>52.784397509003604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50000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v>90702.09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IFERROR(__xludf.DUMMYFUNCTION("IMPORTRANGE(""https://docs.google.com/spreadsheets/d/1MaWodYyGHDf7siQLGxnXhG4mBNTNIuy296niS2xXulU/edit?usp=sharing"",""RTK!H48"")"),60)</f>
        <v>60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IFERROR(__xludf.DUMMYFUNCTION("IMPORTRANGE(""https://docs.google.com/spreadsheets/d/1MaWodYyGHDf7siQLGxnXhG4mBNTNIuy296niS2xXulU/edit?usp=sharing"",""RTK!G48"")"),4000)</f>
        <v>4000</v>
      </c>
      <c r="J801" s="815">
        <f ca="1">IFERROR(__xludf.DUMMYFUNCTION("IMPORTRANGE(""https://docs.google.com/spreadsheets/d/1MaWodYyGHDf7siQLGxnXhG4mBNTNIuy296niS2xXulU/edit?usp=sharing"",""RTK!I48"")"),1085)</f>
        <v>1085</v>
      </c>
      <c r="K801" s="816">
        <f ca="1">IF(I801&gt;0,J801*100/I801,0)</f>
        <v>27.125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476"/>
      <c r="B802" s="1477"/>
      <c r="C802" s="1477"/>
      <c r="D802" s="1477"/>
      <c r="E802" s="1470"/>
      <c r="F802" s="1470" t="s">
        <v>321</v>
      </c>
      <c r="G802" s="1478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IFERROR(__xludf.DUMMYFUNCTION("IMPORTRANGE(""https://docs.google.com/spreadsheets/d/1MaWodYyGHDf7siQLGxnXhG4mBNTNIuy296niS2xXulU/edit?usp=sharing"",""RTK!L48"")"),0)</f>
        <v>0</v>
      </c>
      <c r="K802" s="1466"/>
      <c r="L802" s="1102"/>
      <c r="M802" s="1102"/>
      <c r="N802" s="1102"/>
      <c r="O802" s="1102"/>
      <c r="P802" s="1102"/>
      <c r="Q802" s="1479"/>
      <c r="R802" s="1479"/>
      <c r="S802" s="1479"/>
      <c r="T802" s="1479"/>
      <c r="U802" s="1479"/>
      <c r="V802" s="1479"/>
      <c r="W802" s="1479"/>
      <c r="X802" s="1479"/>
      <c r="Y802" s="1479"/>
      <c r="Z802" s="1479"/>
    </row>
    <row r="803" spans="1:26" ht="18.75">
      <c r="A803" s="1476"/>
      <c r="B803" s="1477"/>
      <c r="C803" s="1477"/>
      <c r="D803" s="1477"/>
      <c r="E803" s="1470"/>
      <c r="F803" s="1470"/>
      <c r="G803" s="1478"/>
      <c r="H803" s="813" t="s">
        <v>46</v>
      </c>
      <c r="I803" s="814">
        <f ca="1">IFERROR(__xludf.DUMMYFUNCTION("IMPORTRANGE(""https://docs.google.com/spreadsheets/d/1MaWodYyGHDf7siQLGxnXhG4mBNTNIuy296niS2xXulU/edit?usp=sharing"",""RTK!K48"")"),0)</f>
        <v>0</v>
      </c>
      <c r="J803" s="815">
        <f ca="1">IFERROR(__xludf.DUMMYFUNCTION("IMPORTRANGE(""https://docs.google.com/spreadsheets/d/1MaWodYyGHDf7siQLGxnXhG4mBNTNIuy296niS2xXulU/edit?usp=sharing"",""RTK!M48"")"),0)</f>
        <v>0</v>
      </c>
      <c r="K803" s="816">
        <f t="shared" ref="K803:K804" ca="1" si="327">IF(I803&gt;0,J803*100/I803,0)</f>
        <v>0</v>
      </c>
      <c r="L803" s="1102"/>
      <c r="M803" s="1102"/>
      <c r="N803" s="1102"/>
      <c r="O803" s="1102"/>
      <c r="P803" s="1102"/>
      <c r="Q803" s="1479"/>
      <c r="R803" s="1479"/>
      <c r="S803" s="1479"/>
      <c r="T803" s="1479"/>
      <c r="U803" s="1479"/>
      <c r="V803" s="1479"/>
      <c r="W803" s="1479"/>
      <c r="X803" s="1479"/>
      <c r="Y803" s="1479"/>
      <c r="Z803" s="1479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863">
        <f ca="1">IFERROR(__xludf.DUMMYFUNCTION("IMPORTRANGE(""https://docs.google.com/spreadsheets/d/19vJNZY_5yjcGF2XGBMNZRCAIB0Kwfpjp8YEOfu-bneM/edit?usp=sharing"",""งานกองทุน!F48"")"),2164779.09)</f>
        <v>2164779.09</v>
      </c>
      <c r="K821" s="864">
        <f t="shared" ref="K821:K828" ca="1" si="336">IF(I821&gt;0,J821*100/I821,0)</f>
        <v>74.27130382951627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IFERROR(__xludf.DUMMYFUNCTION("IMPORTRANGE(""https://docs.google.com/spreadsheets/d/19vJNZY_5yjcGF2XGBMNZRCAIB0Kwfpjp8YEOfu-bneM/edit?usp=sharing"",""งานกองทุน!C48"")"),178)</f>
        <v>178</v>
      </c>
      <c r="J822" s="863">
        <f ca="1">IFERROR(__xludf.DUMMYFUNCTION("IMPORTRANGE(""https://docs.google.com/spreadsheets/d/19vJNZY_5yjcGF2XGBMNZRCAIB0Kwfpjp8YEOfu-bneM/edit?usp=sharing"",""งานกองทุน!E48"")"),137)</f>
        <v>137</v>
      </c>
      <c r="K822" s="864">
        <f t="shared" ca="1" si="336"/>
        <v>76.966292134831463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863">
        <f ca="1">IFERROR(__xludf.DUMMYFUNCTION("IMPORTRANGE(""https://docs.google.com/spreadsheets/d/19vJNZY_5yjcGF2XGBMNZRCAIB0Kwfpjp8YEOfu-bneM/edit?usp=sharing"",""งานกองทุน!K48"")"),208607.77)</f>
        <v>208607.77</v>
      </c>
      <c r="K823" s="864">
        <f t="shared" ca="1" si="336"/>
        <v>8.990260669492617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IFERROR(__xludf.DUMMYFUNCTION("IMPORTRANGE(""https://docs.google.com/spreadsheets/d/19vJNZY_5yjcGF2XGBMNZRCAIB0Kwfpjp8YEOfu-bneM/edit?usp=sharing"",""งานกองทุน!H48"")"),113)</f>
        <v>113</v>
      </c>
      <c r="J824" s="863">
        <f ca="1">IFERROR(__xludf.DUMMYFUNCTION("IMPORTRANGE(""https://docs.google.com/spreadsheets/d/19vJNZY_5yjcGF2XGBMNZRCAIB0Kwfpjp8YEOfu-bneM/edit?usp=sharing"",""งานกองทุน!J48"")"),34)</f>
        <v>34</v>
      </c>
      <c r="K824" s="864">
        <f t="shared" ca="1" si="336"/>
        <v>30.088495575221238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IFERROR(__xludf.DUMMYFUNCTION("IMPORTRANGE(""https://docs.google.com/spreadsheets/d/19vJNZY_5yjcGF2XGBMNZRCAIB0Kwfpjp8YEOfu-bneM/edit?usp=sharing"",""งานกองทุน!N48"")"),0)</f>
        <v>0</v>
      </c>
      <c r="J825" s="863">
        <f ca="1">IFERROR(__xludf.DUMMYFUNCTION("IMPORTRANGE(""https://docs.google.com/spreadsheets/d/19vJNZY_5yjcGF2XGBMNZRCAIB0Kwfpjp8YEOfu-bneM/edit?usp=sharing"",""งานกองทุน!P48"")"),2363)</f>
        <v>2363</v>
      </c>
      <c r="K825" s="864">
        <f t="shared" ca="1" si="336"/>
        <v>0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IFERROR(__xludf.DUMMYFUNCTION("IMPORTRANGE(""https://docs.google.com/spreadsheets/d/19vJNZY_5yjcGF2XGBMNZRCAIB0Kwfpjp8YEOfu-bneM/edit?usp=sharing"",""งานกองทุน!M48"")"),0)</f>
        <v>0</v>
      </c>
      <c r="J826" s="863">
        <f ca="1">IFERROR(__xludf.DUMMYFUNCTION("IMPORTRANGE(""https://docs.google.com/spreadsheets/d/19vJNZY_5yjcGF2XGBMNZRCAIB0Kwfpjp8YEOfu-bneM/edit?usp=sharing"",""งานกองทุน!O48"")"),2)</f>
        <v>2</v>
      </c>
      <c r="K826" s="864">
        <f t="shared" ca="1" si="336"/>
        <v>0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IFERROR(__xludf.DUMMYFUNCTION("IMPORTRANGE(""https://docs.google.com/spreadsheets/d/19vJNZY_5yjcGF2XGBMNZRCAIB0Kwfpjp8YEOfu-bneM/edit?usp=sharing"",""งานกองทุน!S48"")"),4200000)</f>
        <v>4200000</v>
      </c>
      <c r="J827" s="863">
        <f ca="1">IFERROR(__xludf.DUMMYFUNCTION("IMPORTRANGE(""https://docs.google.com/spreadsheets/d/19vJNZY_5yjcGF2XGBMNZRCAIB0Kwfpjp8YEOfu-bneM/edit?usp=sharing"",""งานกองทุน!U48"")"),2000000)</f>
        <v>2000000</v>
      </c>
      <c r="K827" s="864">
        <f t="shared" ca="1" si="336"/>
        <v>47.61904761904762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IFERROR(__xludf.DUMMYFUNCTION("IMPORTRANGE(""https://docs.google.com/spreadsheets/d/19vJNZY_5yjcGF2XGBMNZRCAIB0Kwfpjp8YEOfu-bneM/edit?usp=sharing"",""งานกองทุน!R48"")"),168)</f>
        <v>168</v>
      </c>
      <c r="J828" s="1117">
        <f ca="1">IFERROR(__xludf.DUMMYFUNCTION("IMPORTRANGE(""https://docs.google.com/spreadsheets/d/19vJNZY_5yjcGF2XGBMNZRCAIB0Kwfpjp8YEOfu-bneM/edit?usp=sharing"",""งานกองทุน!T48"")"),57)</f>
        <v>57</v>
      </c>
      <c r="K828" s="1215">
        <f t="shared" ca="1" si="336"/>
        <v>33.928571428571431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B48D-28E9-4D60-8B32-22BBF897944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pane="bottomLeft" activeCell="S7" sqref="S7"/>
    </sheetView>
  </sheetViews>
  <sheetFormatPr defaultColWidth="12.5703125" defaultRowHeight="15.75" customHeight="1"/>
  <cols>
    <col min="1" max="3" width="3.28515625" style="1489" customWidth="1"/>
    <col min="4" max="6" width="5.85546875" style="1489" customWidth="1"/>
    <col min="7" max="7" width="56.42578125" style="1489" customWidth="1"/>
    <col min="8" max="8" width="9.42578125" style="1489" customWidth="1"/>
    <col min="9" max="10" width="16.85546875" style="1489" bestFit="1" customWidth="1"/>
    <col min="11" max="11" width="12.5703125" style="1489" customWidth="1"/>
    <col min="12" max="14" width="21.28515625" style="1489" bestFit="1" customWidth="1"/>
    <col min="15" max="15" width="20.140625" style="1489" bestFit="1" customWidth="1"/>
    <col min="16" max="16" width="22" style="1489" bestFit="1" customWidth="1"/>
    <col min="17" max="16384" width="12.5703125" style="1489"/>
  </cols>
  <sheetData>
    <row r="1" spans="1:26" ht="19.5">
      <c r="A1" s="1546" t="s">
        <v>0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1547"/>
      <c r="P1" s="1547"/>
    </row>
    <row r="2" spans="1:26" ht="19.5">
      <c r="A2" s="1546" t="s">
        <v>359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</row>
    <row r="3" spans="1:26" ht="19.5">
      <c r="A3" s="1546" t="s">
        <v>329</v>
      </c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1552" t="s">
        <v>2</v>
      </c>
      <c r="B5" s="1547"/>
      <c r="C5" s="1547"/>
      <c r="D5" s="1547"/>
      <c r="E5" s="1547"/>
      <c r="F5" s="1547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41" t="s">
        <v>15</v>
      </c>
      <c r="B7" s="1542"/>
      <c r="C7" s="1542"/>
      <c r="D7" s="1542"/>
      <c r="E7" s="1542"/>
      <c r="F7" s="1542"/>
      <c r="G7" s="154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2492750</v>
      </c>
      <c r="N8" s="22">
        <f t="shared" ca="1" si="0"/>
        <v>1522011.33</v>
      </c>
      <c r="O8" s="22">
        <f t="shared" ref="O8:O16" ca="1" si="1">IF(L8&gt;0,N8*100/L8,0)</f>
        <v>33.494333734000634</v>
      </c>
      <c r="P8" s="22">
        <f t="shared" ref="P8:P16" ca="1" si="2">IF(M8&gt;0,N8*100/M8,0)</f>
        <v>61.057520008023268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2492750</v>
      </c>
      <c r="N10" s="30">
        <f t="shared" ca="1" si="3"/>
        <v>1522011.33</v>
      </c>
      <c r="O10" s="30">
        <f t="shared" ca="1" si="1"/>
        <v>33.494333734000634</v>
      </c>
      <c r="P10" s="30">
        <f t="shared" ca="1" si="2"/>
        <v>61.057520008023268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2397350</v>
      </c>
      <c r="N11" s="497">
        <f t="shared" ca="1" si="4"/>
        <v>1426611.33</v>
      </c>
      <c r="O11" s="497">
        <f t="shared" ca="1" si="1"/>
        <v>32.068150685393398</v>
      </c>
      <c r="P11" s="497">
        <f t="shared" ca="1" si="2"/>
        <v>59.50784532921768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4448686</v>
      </c>
      <c r="M13" s="93">
        <f t="shared" ca="1" si="5"/>
        <v>2397350</v>
      </c>
      <c r="N13" s="93">
        <f t="shared" ca="1" si="5"/>
        <v>1426611.33</v>
      </c>
      <c r="O13" s="93">
        <f t="shared" ca="1" si="1"/>
        <v>32.068150685393398</v>
      </c>
      <c r="P13" s="93">
        <f t="shared" ca="1" si="2"/>
        <v>59.50784532921768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1541" t="s">
        <v>22</v>
      </c>
      <c r="B17" s="1542"/>
      <c r="C17" s="1542"/>
      <c r="D17" s="1542"/>
      <c r="E17" s="1542"/>
      <c r="F17" s="1542"/>
      <c r="G17" s="154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2492750</v>
      </c>
      <c r="N18" s="22">
        <f t="shared" ca="1" si="8"/>
        <v>1279186.33</v>
      </c>
      <c r="O18" s="22">
        <f t="shared" ref="O18:O26" ca="1" si="9">IF(L18&gt;0,N18*100/L18,0)</f>
        <v>41.861958455031129</v>
      </c>
      <c r="P18" s="22">
        <f t="shared" ref="P18:P26" ca="1" si="10">IF(M18&gt;0,N18*100/M18,0)</f>
        <v>51.316270384113928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2492750</v>
      </c>
      <c r="N20" s="30">
        <f t="shared" ca="1" si="11"/>
        <v>1279186.33</v>
      </c>
      <c r="O20" s="30">
        <f t="shared" ca="1" si="9"/>
        <v>41.861958455031129</v>
      </c>
      <c r="P20" s="30">
        <f t="shared" ca="1" si="10"/>
        <v>51.316270384113928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2397350</v>
      </c>
      <c r="N21" s="497">
        <f t="shared" ca="1" si="12"/>
        <v>1183786.33</v>
      </c>
      <c r="O21" s="497">
        <f t="shared" ca="1" si="9"/>
        <v>39.988390801685625</v>
      </c>
      <c r="P21" s="497">
        <f t="shared" ca="1" si="10"/>
        <v>49.378953010615888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2960325</v>
      </c>
      <c r="M23" s="93">
        <f t="shared" ca="1" si="13"/>
        <v>2397350</v>
      </c>
      <c r="N23" s="93">
        <f t="shared" ca="1" si="13"/>
        <v>1183786.33</v>
      </c>
      <c r="O23" s="93">
        <f t="shared" ca="1" si="9"/>
        <v>39.988390801685625</v>
      </c>
      <c r="P23" s="93">
        <f t="shared" ca="1" si="10"/>
        <v>49.378953010615888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1541" t="s">
        <v>23</v>
      </c>
      <c r="B27" s="1542"/>
      <c r="C27" s="1542"/>
      <c r="D27" s="1542"/>
      <c r="E27" s="1542"/>
      <c r="F27" s="1542"/>
      <c r="G27" s="154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si="16"/>
        <v>0</v>
      </c>
      <c r="N28" s="22">
        <f t="shared" si="16"/>
        <v>242825</v>
      </c>
      <c r="O28" s="22">
        <f t="shared" ref="O28:O37" ca="1" si="17">IF(L28&gt;0,N28*100/L28,0)</f>
        <v>16.314926284684965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si="19"/>
        <v>0</v>
      </c>
      <c r="N30" s="30">
        <f t="shared" si="19"/>
        <v>242825</v>
      </c>
      <c r="O30" s="30">
        <f t="shared" ca="1" si="17"/>
        <v>16.314926284684965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si="20"/>
        <v>0</v>
      </c>
      <c r="N31" s="497">
        <f t="shared" si="20"/>
        <v>242825</v>
      </c>
      <c r="O31" s="497">
        <f t="shared" ca="1" si="17"/>
        <v>16.314926284684965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1488361</v>
      </c>
      <c r="M33" s="93">
        <f t="shared" si="21"/>
        <v>0</v>
      </c>
      <c r="N33" s="93">
        <f t="shared" si="21"/>
        <v>242825</v>
      </c>
      <c r="O33" s="93">
        <f t="shared" ca="1" si="17"/>
        <v>16.314926284684965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1490" t="s">
        <v>24</v>
      </c>
      <c r="B37" s="1491"/>
      <c r="C37" s="1491"/>
      <c r="D37" s="1491"/>
      <c r="E37" s="1491"/>
      <c r="F37" s="1491"/>
      <c r="G37" s="1492"/>
      <c r="H37" s="1493"/>
      <c r="I37" s="1494"/>
      <c r="J37" s="1494"/>
      <c r="K37" s="1495"/>
      <c r="L37" s="1496">
        <f t="shared" ref="L37:N37" ca="1" si="24">L41+L53+L66+L88+L119+L132+L149+L165+L181+L261+L277+L298+L315+L328+L345+L389+L402</f>
        <v>3055725</v>
      </c>
      <c r="M37" s="1496">
        <f t="shared" ca="1" si="24"/>
        <v>2492750</v>
      </c>
      <c r="N37" s="1496">
        <f t="shared" ca="1" si="24"/>
        <v>1279186.33</v>
      </c>
      <c r="O37" s="1496">
        <f t="shared" ca="1" si="17"/>
        <v>41.861958455031129</v>
      </c>
      <c r="P37" s="1496">
        <f t="shared" ca="1" si="18"/>
        <v>51.316270384113928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1544" t="s">
        <v>27</v>
      </c>
      <c r="C40" s="1533"/>
      <c r="D40" s="1533"/>
      <c r="E40" s="1533"/>
      <c r="F40" s="1533"/>
      <c r="G40" s="153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1497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184545.08</v>
      </c>
      <c r="O41" s="85">
        <f t="shared" ref="O41:O49" ca="1" si="26">IF(L41&gt;0,N41*100/L41,0)</f>
        <v>41.913486259368611</v>
      </c>
      <c r="P41" s="85">
        <f t="shared" ref="P41:P49" ca="1" si="27">IF(M41&gt;0,N41*100/M41,0)</f>
        <v>41.913486259368611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184545.08</v>
      </c>
      <c r="O43" s="92">
        <f t="shared" ca="1" si="26"/>
        <v>41.913486259368611</v>
      </c>
      <c r="P43" s="92">
        <f t="shared" ca="1" si="27"/>
        <v>41.913486259368611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184545.08</v>
      </c>
      <c r="O44" s="497">
        <f t="shared" ca="1" si="26"/>
        <v>41.913486259368611</v>
      </c>
      <c r="P44" s="497">
        <f t="shared" ca="1" si="27"/>
        <v>41.913486259368611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IFERROR(__xludf.DUMMYFUNCTION("IMPORTRANGE(""https://docs.google.com/spreadsheets/d/1MeEWN-I1oV_STSDYn1IFDPWt_1FKiwhDph83XaGc0o0/edit?usp=sharing"",""งบพรบ!T49"")"),184545.08)</f>
        <v>184545.08</v>
      </c>
      <c r="O46" s="93">
        <f t="shared" ca="1" si="26"/>
        <v>41.913486259368611</v>
      </c>
      <c r="P46" s="93">
        <f t="shared" ca="1" si="27"/>
        <v>41.913486259368611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1545" t="s">
        <v>28</v>
      </c>
      <c r="B50" s="1542"/>
      <c r="C50" s="1542"/>
      <c r="D50" s="1542"/>
      <c r="E50" s="1542"/>
      <c r="F50" s="1542"/>
      <c r="G50" s="154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1538" t="s">
        <v>29</v>
      </c>
      <c r="C51" s="1533"/>
      <c r="D51" s="1533"/>
      <c r="E51" s="1533"/>
      <c r="F51" s="1533"/>
      <c r="G51" s="153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498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496425</v>
      </c>
      <c r="N53" s="116">
        <f t="shared" ca="1" si="31"/>
        <v>274466.25</v>
      </c>
      <c r="O53" s="116">
        <f t="shared" ref="O53:O61" ca="1" si="32">IF(L53&gt;0,N53*100/L53,0)</f>
        <v>41.466422420305179</v>
      </c>
      <c r="P53" s="116">
        <f t="shared" ref="P53:P61" ca="1" si="33">IF(M53&gt;0,N53*100/M53,0)</f>
        <v>55.288563227073574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496425</v>
      </c>
      <c r="N55" s="123">
        <f t="shared" ca="1" si="34"/>
        <v>274466.25</v>
      </c>
      <c r="O55" s="123">
        <f t="shared" ca="1" si="32"/>
        <v>41.466422420305179</v>
      </c>
      <c r="P55" s="123">
        <f t="shared" ca="1" si="33"/>
        <v>55.288563227073574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496425</v>
      </c>
      <c r="N56" s="497">
        <f t="shared" ca="1" si="35"/>
        <v>274466.25</v>
      </c>
      <c r="O56" s="497">
        <f t="shared" ca="1" si="32"/>
        <v>41.466422420305179</v>
      </c>
      <c r="P56" s="497">
        <f t="shared" ca="1" si="33"/>
        <v>55.288563227073574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IFERROR(__xludf.DUMMYFUNCTION("IMPORTRANGE(""https://docs.google.com/spreadsheets/d/1MeEWN-I1oV_STSDYn1IFDPWt_1FKiwhDph83XaGc0o0/edit?usp=sharing"",""งบพรบ!AB49"")"),496425)</f>
        <v>496425</v>
      </c>
      <c r="N58" s="93">
        <f ca="1">IFERROR(__xludf.DUMMYFUNCTION("IMPORTRANGE(""https://docs.google.com/spreadsheets/d/1MeEWN-I1oV_STSDYn1IFDPWt_1FKiwhDph83XaGc0o0/edit?usp=sharing"",""งบพรบ!AD49"")"),274466.25)</f>
        <v>274466.25</v>
      </c>
      <c r="O58" s="93">
        <f t="shared" ca="1" si="32"/>
        <v>41.466422420305179</v>
      </c>
      <c r="P58" s="93">
        <f t="shared" ca="1" si="33"/>
        <v>55.288563227073574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499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589970</v>
      </c>
      <c r="N66" s="155">
        <f t="shared" ca="1" si="39"/>
        <v>227405</v>
      </c>
      <c r="O66" s="155">
        <f t="shared" ref="O66:O74" ca="1" si="40">IF(L66&gt;0,N66*100/L66,0)</f>
        <v>29.098528470889317</v>
      </c>
      <c r="P66" s="155">
        <f t="shared" ref="P66:P74" ca="1" si="41">IF(M66&gt;0,N66*100/M66,0)</f>
        <v>38.545180263403225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781500</v>
      </c>
      <c r="M68" s="93">
        <f t="shared" ca="1" si="42"/>
        <v>589970</v>
      </c>
      <c r="N68" s="93">
        <f t="shared" ca="1" si="42"/>
        <v>227405</v>
      </c>
      <c r="O68" s="93">
        <f t="shared" ca="1" si="40"/>
        <v>29.098528470889317</v>
      </c>
      <c r="P68" s="93">
        <f t="shared" ca="1" si="41"/>
        <v>38.545180263403225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589970</v>
      </c>
      <c r="N69" s="497">
        <f t="shared" ca="1" si="43"/>
        <v>227405</v>
      </c>
      <c r="O69" s="497">
        <f t="shared" ca="1" si="40"/>
        <v>29.098528470889317</v>
      </c>
      <c r="P69" s="497">
        <f t="shared" ca="1" si="41"/>
        <v>38.545180263403225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IFERROR(__xludf.DUMMYFUNCTION("IMPORTRANGE(""https://docs.google.com/spreadsheets/d/1MeEWN-I1oV_STSDYn1IFDPWt_1FKiwhDph83XaGc0o0/edit?usp=sharing"",""งบพรบ!AL49"")"),589970)</f>
        <v>589970</v>
      </c>
      <c r="N71" s="93">
        <f ca="1">IFERROR(__xludf.DUMMYFUNCTION("IMPORTRANGE(""https://docs.google.com/spreadsheets/d/1MeEWN-I1oV_STSDYn1IFDPWt_1FKiwhDph83XaGc0o0/edit?usp=sharing"",""งบพรบ!AN49"")"),227405)</f>
        <v>227405</v>
      </c>
      <c r="O71" s="93">
        <f t="shared" ca="1" si="40"/>
        <v>29.098528470889317</v>
      </c>
      <c r="P71" s="93">
        <f t="shared" ca="1" si="41"/>
        <v>38.545180263403225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500" t="s">
        <v>38</v>
      </c>
      <c r="E75" s="173"/>
      <c r="F75" s="173"/>
      <c r="G75" s="174"/>
      <c r="H75" s="755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7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7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7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7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7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7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499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72090</v>
      </c>
      <c r="N88" s="155">
        <f t="shared" ca="1" si="49"/>
        <v>44180</v>
      </c>
      <c r="O88" s="155">
        <f t="shared" ref="O88:O96" ca="1" si="50">IF(L88&gt;0,N88*100/L88,0)</f>
        <v>78.836545324768025</v>
      </c>
      <c r="P88" s="155">
        <f t="shared" ref="P88:P96" ca="1" si="51">IF(M88&gt;0,N88*100/M88,0)</f>
        <v>61.28450547926203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56040</v>
      </c>
      <c r="M90" s="93">
        <f t="shared" ca="1" si="52"/>
        <v>72090</v>
      </c>
      <c r="N90" s="93">
        <f t="shared" ca="1" si="52"/>
        <v>44180</v>
      </c>
      <c r="O90" s="93">
        <f t="shared" ca="1" si="50"/>
        <v>78.836545324768025</v>
      </c>
      <c r="P90" s="93">
        <f t="shared" ca="1" si="51"/>
        <v>61.28450547926203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72090</v>
      </c>
      <c r="N91" s="497">
        <f t="shared" ca="1" si="53"/>
        <v>44180</v>
      </c>
      <c r="O91" s="497">
        <f t="shared" ca="1" si="50"/>
        <v>78.836545324768025</v>
      </c>
      <c r="P91" s="497">
        <f t="shared" ca="1" si="51"/>
        <v>61.28450547926203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IFERROR(__xludf.DUMMYFUNCTION("IMPORTRANGE(""https://docs.google.com/spreadsheets/d/1MeEWN-I1oV_STSDYn1IFDPWt_1FKiwhDph83XaGc0o0/edit?usp=sharing"",""งบพรบ!AV49"")"),72090)</f>
        <v>72090</v>
      </c>
      <c r="N93" s="93">
        <f ca="1">IFERROR(__xludf.DUMMYFUNCTION("IMPORTRANGE(""https://docs.google.com/spreadsheets/d/1MeEWN-I1oV_STSDYn1IFDPWt_1FKiwhDph83XaGc0o0/edit?usp=sharing"",""งบพรบ!AX49"")"),44180)</f>
        <v>44180</v>
      </c>
      <c r="O93" s="93">
        <f t="shared" ca="1" si="50"/>
        <v>78.836545324768025</v>
      </c>
      <c r="P93" s="93">
        <f t="shared" ca="1" si="51"/>
        <v>61.28450547926203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500" t="s">
        <v>38</v>
      </c>
      <c r="E97" s="173"/>
      <c r="F97" s="173"/>
      <c r="G97" s="174"/>
      <c r="H97" s="755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0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4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4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1499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1499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1500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1501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1499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1500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1502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499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500" t="s">
        <v>38</v>
      </c>
      <c r="E175" s="173"/>
      <c r="F175" s="173"/>
      <c r="G175" s="174"/>
      <c r="H175" s="755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39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5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499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54500</v>
      </c>
      <c r="N181" s="155">
        <f t="shared" ca="1" si="92"/>
        <v>46140</v>
      </c>
      <c r="O181" s="155">
        <f t="shared" ref="O181:O189" ca="1" si="93">IF(L181&gt;0,N181*100/L181,0)</f>
        <v>62.690217391304351</v>
      </c>
      <c r="P181" s="155">
        <f t="shared" ref="P181:P189" ca="1" si="94">IF(M181&gt;0,N181*100/M181,0)</f>
        <v>84.660550458715591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73600</v>
      </c>
      <c r="M183" s="93">
        <f t="shared" ca="1" si="95"/>
        <v>54500</v>
      </c>
      <c r="N183" s="93">
        <f t="shared" ca="1" si="95"/>
        <v>46140</v>
      </c>
      <c r="O183" s="93">
        <f t="shared" ca="1" si="93"/>
        <v>62.690217391304351</v>
      </c>
      <c r="P183" s="93">
        <f t="shared" ca="1" si="94"/>
        <v>84.660550458715591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54500</v>
      </c>
      <c r="N184" s="497">
        <f t="shared" ca="1" si="96"/>
        <v>46140</v>
      </c>
      <c r="O184" s="497">
        <f t="shared" ca="1" si="93"/>
        <v>62.690217391304351</v>
      </c>
      <c r="P184" s="497">
        <f t="shared" ca="1" si="94"/>
        <v>84.660550458715591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IFERROR(__xludf.DUMMYFUNCTION("IMPORTRANGE(""https://docs.google.com/spreadsheets/d/1MeEWN-I1oV_STSDYn1IFDPWt_1FKiwhDph83XaGc0o0/edit?usp=sharing"",""งบพรบ!CT49"")"),54500)</f>
        <v>54500</v>
      </c>
      <c r="N186" s="93">
        <f ca="1">IFERROR(__xludf.DUMMYFUNCTION("IMPORTRANGE(""https://docs.google.com/spreadsheets/d/1MeEWN-I1oV_STSDYn1IFDPWt_1FKiwhDph83XaGc0o0/edit?usp=sharing"",""งบพรบ!CV49"")"),46140)</f>
        <v>46140</v>
      </c>
      <c r="O186" s="93">
        <f t="shared" ca="1" si="93"/>
        <v>62.690217391304351</v>
      </c>
      <c r="P186" s="93">
        <f t="shared" ca="1" si="94"/>
        <v>84.660550458715591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1503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2820</v>
      </c>
      <c r="O191" s="155">
        <f ca="1">IF(L191&gt;0,N191*100/L191,0)</f>
        <v>47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500" t="s">
        <v>38</v>
      </c>
      <c r="E192" s="173"/>
      <c r="F192" s="173"/>
      <c r="G192" s="174"/>
      <c r="H192" s="755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7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1503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3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3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3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3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500" t="s">
        <v>38</v>
      </c>
      <c r="E203" s="173"/>
      <c r="F203" s="173"/>
      <c r="G203" s="174"/>
      <c r="H203" s="755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5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5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1503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13000</v>
      </c>
      <c r="O209" s="155">
        <f ca="1">IF(L209&gt;0,N209*100/L209,0)</f>
        <v>92.857142857142861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3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3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3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500" t="s">
        <v>38</v>
      </c>
      <c r="E213" s="173"/>
      <c r="F213" s="173"/>
      <c r="G213" s="174"/>
      <c r="H213" s="755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5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5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1503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3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3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500" t="s">
        <v>38</v>
      </c>
      <c r="E221" s="173"/>
      <c r="F221" s="173"/>
      <c r="G221" s="174"/>
      <c r="H221" s="755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5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7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7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7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1504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1505"/>
      <c r="P227" s="150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499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1506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1506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1506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1506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500" t="s">
        <v>38</v>
      </c>
      <c r="E243" s="173"/>
      <c r="F243" s="173"/>
      <c r="G243" s="174"/>
      <c r="H243" s="755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7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1507" t="s">
        <v>43</v>
      </c>
      <c r="E245" s="178"/>
      <c r="F245" s="178"/>
      <c r="G245" s="179"/>
      <c r="H245" s="757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7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7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1503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1506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1506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1506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1506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500" t="s">
        <v>38</v>
      </c>
      <c r="E254" s="173"/>
      <c r="F254" s="173"/>
      <c r="G254" s="174"/>
      <c r="H254" s="755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7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1507" t="s">
        <v>43</v>
      </c>
      <c r="E256" s="178"/>
      <c r="F256" s="178"/>
      <c r="G256" s="179"/>
      <c r="H256" s="757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7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7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499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24280</v>
      </c>
      <c r="O261" s="155">
        <f t="shared" ref="O261:O269" ca="1" si="117">IF(L261&gt;0,N261*100/L261,0)</f>
        <v>84.305555555555557</v>
      </c>
      <c r="P261" s="155">
        <f t="shared" ref="P261:P269" ca="1" si="118">IF(M261&gt;0,N261*100/M261,0)</f>
        <v>94.108527131782949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24280</v>
      </c>
      <c r="O263" s="93">
        <f t="shared" ca="1" si="117"/>
        <v>84.305555555555557</v>
      </c>
      <c r="P263" s="93">
        <f t="shared" ca="1" si="118"/>
        <v>94.108527131782949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24280</v>
      </c>
      <c r="O264" s="497">
        <f t="shared" ca="1" si="117"/>
        <v>84.305555555555557</v>
      </c>
      <c r="P264" s="497">
        <f t="shared" ca="1" si="118"/>
        <v>94.108527131782949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IFERROR(__xludf.DUMMYFUNCTION("IMPORTRANGE(""https://docs.google.com/spreadsheets/d/1MeEWN-I1oV_STSDYn1IFDPWt_1FKiwhDph83XaGc0o0/edit?usp=sharing"",""งบพรบ!DD49"")"),25800)</f>
        <v>25800</v>
      </c>
      <c r="N266" s="93">
        <f ca="1">IFERROR(__xludf.DUMMYFUNCTION("IMPORTRANGE(""https://docs.google.com/spreadsheets/d/1MeEWN-I1oV_STSDYn1IFDPWt_1FKiwhDph83XaGc0o0/edit?usp=sharing"",""งบพรบ!DF49"")"),24280)</f>
        <v>24280</v>
      </c>
      <c r="O266" s="93">
        <f t="shared" ca="1" si="117"/>
        <v>84.305555555555557</v>
      </c>
      <c r="P266" s="93">
        <f t="shared" ca="1" si="118"/>
        <v>94.108527131782949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1500" t="s">
        <v>38</v>
      </c>
      <c r="E270" s="173"/>
      <c r="F270" s="173"/>
      <c r="G270" s="174"/>
      <c r="H270" s="755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1508">
        <f t="shared" ref="I276:J276" ca="1" si="124">I287</f>
        <v>0</v>
      </c>
      <c r="J276" s="1508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1499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1500" t="s">
        <v>38</v>
      </c>
      <c r="E286" s="173"/>
      <c r="F286" s="173"/>
      <c r="G286" s="174"/>
      <c r="H286" s="755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4">
        <f ca="1">IFERROR(__xludf.DUMMYFUNCTION("IMPORTRANGE(""https://docs.google.com/spreadsheets/d/1QqKyyYR6Q21VydFLVH3TRQUabQu_ym0Zz7PgGX0-kHA/edit?usp=sharing"",""แผน!EB49"")"),0)</f>
        <v>0</v>
      </c>
      <c r="J288" s="674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7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7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344</v>
      </c>
      <c r="F291" s="178"/>
      <c r="G291" s="179"/>
      <c r="H291" s="757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7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7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1499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1500" t="s">
        <v>38</v>
      </c>
      <c r="E307" s="173"/>
      <c r="F307" s="173"/>
      <c r="G307" s="174"/>
      <c r="H307" s="755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7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7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7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7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7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1499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1500" t="s">
        <v>38</v>
      </c>
      <c r="E324" s="173"/>
      <c r="F324" s="173"/>
      <c r="G324" s="174"/>
      <c r="H324" s="755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1253</v>
      </c>
      <c r="K327" s="445">
        <f ca="1">IF(I327&gt;0,J327*100/I327,0)</f>
        <v>65.94736842105263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499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54360</v>
      </c>
      <c r="O328" s="155">
        <f t="shared" ref="O328:O336" ca="1" si="150">IF(L328&gt;0,N328*100/L328,0)</f>
        <v>32.746987951807228</v>
      </c>
      <c r="P328" s="155">
        <f t="shared" ref="P328:P336" ca="1" si="151">IF(M328&gt;0,N328*100/M328,0)</f>
        <v>42.803149606299215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54360</v>
      </c>
      <c r="O330" s="93">
        <f t="shared" ca="1" si="150"/>
        <v>32.746987951807228</v>
      </c>
      <c r="P330" s="93">
        <f t="shared" ca="1" si="151"/>
        <v>42.803149606299215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54360</v>
      </c>
      <c r="O331" s="497">
        <f t="shared" ca="1" si="150"/>
        <v>32.746987951807228</v>
      </c>
      <c r="P331" s="497">
        <f t="shared" ca="1" si="151"/>
        <v>42.803149606299215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IFERROR(__xludf.DUMMYFUNCTION("IMPORTRANGE(""https://docs.google.com/spreadsheets/d/1MeEWN-I1oV_STSDYn1IFDPWt_1FKiwhDph83XaGc0o0/edit?usp=sharing"",""งบพรบ!ER49"")"),127000)</f>
        <v>127000</v>
      </c>
      <c r="N333" s="93">
        <f ca="1">IFERROR(__xludf.DUMMYFUNCTION("IMPORTRANGE(""https://docs.google.com/spreadsheets/d/1MeEWN-I1oV_STSDYn1IFDPWt_1FKiwhDph83XaGc0o0/edit?usp=sharing"",""งบพรบ!ET49"")"),54360)</f>
        <v>54360</v>
      </c>
      <c r="O333" s="93">
        <f t="shared" ca="1" si="150"/>
        <v>32.746987951807228</v>
      </c>
      <c r="P333" s="93">
        <f t="shared" ca="1" si="151"/>
        <v>42.803149606299215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500" t="s">
        <v>38</v>
      </c>
      <c r="E337" s="173"/>
      <c r="F337" s="173"/>
      <c r="G337" s="174"/>
      <c r="H337" s="755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IFERROR(__xludf.DUMMYFUNCTION("IMPORTRANGE(""https://docs.google.com/spreadsheets/d/1kVcqe37tkHyjCSG3S0O1AXqVkqjo8mSIZil3BcpIysc/edit?usp=sharing"",""ศูนย์!D49"")"),1009)</f>
        <v>1009</v>
      </c>
      <c r="K338" s="497">
        <f ca="1">IF(I338&gt;0,J338*100/I338,0)</f>
        <v>53.10526315789474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IFERROR(__xludf.DUMMYFUNCTION("IMPORTRANGE(""https://docs.google.com/spreadsheets/d/1kVcqe37tkHyjCSG3S0O1AXqVkqjo8mSIZil3BcpIysc/edit?usp=sharing"",""ศูนย์!F49"")"),193)</f>
        <v>193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IFERROR(__xludf.DUMMYFUNCTION("IMPORTRANGE(""https://docs.google.com/spreadsheets/d/1kVcqe37tkHyjCSG3S0O1AXqVkqjo8mSIZil3BcpIysc/edit?usp=sharing"",""ศูนย์!H49"")"),51)</f>
        <v>51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499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664610</v>
      </c>
      <c r="N345" s="155">
        <f t="shared" ca="1" si="155"/>
        <v>401755</v>
      </c>
      <c r="O345" s="155">
        <f t="shared" ref="O345:O353" ca="1" si="156">IF(L345&gt;0,N345*100/L345,0)</f>
        <v>48.66631133938197</v>
      </c>
      <c r="P345" s="155">
        <f t="shared" ref="P345:P353" ca="1" si="157">IF(M345&gt;0,N345*100/M345,0)</f>
        <v>60.449737440002409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825530</v>
      </c>
      <c r="M347" s="93">
        <f t="shared" ca="1" si="158"/>
        <v>664610</v>
      </c>
      <c r="N347" s="93">
        <f t="shared" ca="1" si="158"/>
        <v>401755</v>
      </c>
      <c r="O347" s="93">
        <f t="shared" ca="1" si="156"/>
        <v>48.66631133938197</v>
      </c>
      <c r="P347" s="93">
        <f t="shared" ca="1" si="157"/>
        <v>60.449737440002409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569210</v>
      </c>
      <c r="N348" s="497">
        <f t="shared" ca="1" si="159"/>
        <v>306355</v>
      </c>
      <c r="O348" s="497">
        <f t="shared" ca="1" si="156"/>
        <v>41.95896621149658</v>
      </c>
      <c r="P348" s="497">
        <f t="shared" ca="1" si="157"/>
        <v>53.821085363925441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IFERROR(__xludf.DUMMYFUNCTION("IMPORTRANGE(""https://docs.google.com/spreadsheets/d/1MeEWN-I1oV_STSDYn1IFDPWt_1FKiwhDph83XaGc0o0/edit?usp=sharing"",""งบพรบ!FB49"")"),569210)</f>
        <v>569210</v>
      </c>
      <c r="N350" s="93">
        <f ca="1">IFERROR(__xludf.DUMMYFUNCTION("IMPORTRANGE(""https://docs.google.com/spreadsheets/d/1MeEWN-I1oV_STSDYn1IFDPWt_1FKiwhDph83XaGc0o0/edit?usp=sharing"",""งบพรบ!FD49"")"),306355)</f>
        <v>306355</v>
      </c>
      <c r="O350" s="93">
        <f t="shared" ca="1" si="156"/>
        <v>41.95896621149658</v>
      </c>
      <c r="P350" s="93">
        <f t="shared" ca="1" si="157"/>
        <v>53.821085363925441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1509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1510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13</v>
      </c>
      <c r="K355" s="465">
        <f ca="1">IF(I355&gt;0,J355*100/I355,0)</f>
        <v>6.1904761904761907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500" t="s">
        <v>38</v>
      </c>
      <c r="E357" s="173"/>
      <c r="F357" s="173"/>
      <c r="G357" s="174"/>
      <c r="H357" s="755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IFERROR(__xludf.DUMMYFUNCTION("IMPORTRANGE(""https://docs.google.com/spreadsheets/d/1XWAQStnk-4SwqDmLtmXYiTMKHgktTP8We1SCoS47DrQ/edit?usp=sharing"",""จัดที่ดิน!W49"")"),133)</f>
        <v>133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IFERROR(__xludf.DUMMYFUNCTION("IMPORTRANGE(""https://docs.google.com/spreadsheets/d/1XWAQStnk-4SwqDmLtmXYiTMKHgktTP8We1SCoS47DrQ/edit?usp=sharing"",""จัดที่ดิน!X49"")"),754.079999999999)</f>
        <v>754.07999999999902</v>
      </c>
      <c r="K359" s="497">
        <f t="shared" ca="1" si="161"/>
        <v>37.703999999999951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7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IFERROR(__xludf.DUMMYFUNCTION("IMPORTRANGE(""https://docs.google.com/spreadsheets/d/1XWAQStnk-4SwqDmLtmXYiTMKHgktTP8We1SCoS47DrQ/edit?usp=sharing"",""จัดที่ดิน!Y49"")"),61)</f>
        <v>61</v>
      </c>
      <c r="K360" s="497">
        <f t="shared" ca="1" si="161"/>
        <v>29.047619047619047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7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IFERROR(__xludf.DUMMYFUNCTION("IMPORTRANGE(""https://docs.google.com/spreadsheets/d/1XWAQStnk-4SwqDmLtmXYiTMKHgktTP8We1SCoS47DrQ/edit?usp=sharing"",""จัดที่ดิน!Z49"")"),357.36)</f>
        <v>357.36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7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IFERROR(__xludf.DUMMYFUNCTION("IMPORTRANGE(""https://docs.google.com/spreadsheets/d/1XWAQStnk-4SwqDmLtmXYiTMKHgktTP8We1SCoS47DrQ/edit?usp=sharing"",""จัดที่ดิน!AA49"")"),13)</f>
        <v>13</v>
      </c>
      <c r="K362" s="497">
        <f t="shared" ca="1" si="161"/>
        <v>6.1904761904761907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7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IFERROR(__xludf.DUMMYFUNCTION("IMPORTRANGE(""https://docs.google.com/spreadsheets/d/1XWAQStnk-4SwqDmLtmXYiTMKHgktTP8We1SCoS47DrQ/edit?usp=sharing"",""จัดที่ดิน!AB49"")"),40.11)</f>
        <v>40.11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410</v>
      </c>
      <c r="J364" s="478">
        <f t="shared" ca="1" si="162"/>
        <v>259</v>
      </c>
      <c r="K364" s="479">
        <f t="shared" ca="1" si="161"/>
        <v>63.170731707317074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13</v>
      </c>
      <c r="K365" s="491">
        <f t="shared" ca="1" si="161"/>
        <v>21.666666666666668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500" t="s">
        <v>38</v>
      </c>
      <c r="E367" s="173"/>
      <c r="F367" s="173"/>
      <c r="G367" s="174"/>
      <c r="H367" s="755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IFERROR(__xludf.DUMMYFUNCTION("IMPORTRANGE(""https://docs.google.com/spreadsheets/d/1XWAQStnk-4SwqDmLtmXYiTMKHgktTP8We1SCoS47DrQ/edit?usp=sharing"",""จัดที่ดิน!E49"")"),85)</f>
        <v>85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IFERROR(__xludf.DUMMYFUNCTION("IMPORTRANGE(""https://docs.google.com/spreadsheets/d/1XWAQStnk-4SwqDmLtmXYiTMKHgktTP8We1SCoS47DrQ/edit?usp=sharing"",""จัดที่ดิน!F49"")"),436.83)</f>
        <v>436.83</v>
      </c>
      <c r="K369" s="497">
        <f t="shared" ca="1" si="163"/>
        <v>87.366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7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IFERROR(__xludf.DUMMYFUNCTION("IMPORTRANGE(""https://docs.google.com/spreadsheets/d/1XWAQStnk-4SwqDmLtmXYiTMKHgktTP8We1SCoS47DrQ/edit?usp=sharing"",""จัดที่ดิน!G49"")"),13)</f>
        <v>13</v>
      </c>
      <c r="K370" s="497">
        <f t="shared" ca="1" si="163"/>
        <v>21.666666666666668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7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IFERROR(__xludf.DUMMYFUNCTION("IMPORTRANGE(""https://docs.google.com/spreadsheets/d/1XWAQStnk-4SwqDmLtmXYiTMKHgktTP8We1SCoS47DrQ/edit?usp=sharing"",""จัดที่ดิน!H49"")"),40.11)</f>
        <v>40.11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7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IFERROR(__xludf.DUMMYFUNCTION("IMPORTRANGE(""https://docs.google.com/spreadsheets/d/1XWAQStnk-4SwqDmLtmXYiTMKHgktTP8We1SCoS47DrQ/edit?usp=sharing"",""จัดที่ดิน!I49"")"),13)</f>
        <v>13</v>
      </c>
      <c r="K372" s="497">
        <f t="shared" ca="1" si="163"/>
        <v>21.666666666666668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7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IFERROR(__xludf.DUMMYFUNCTION("IMPORTRANGE(""https://docs.google.com/spreadsheets/d/1XWAQStnk-4SwqDmLtmXYiTMKHgktTP8We1SCoS47DrQ/edit?usp=sharing"",""จัดที่ดิน!J49"")"),40.11)</f>
        <v>40.11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IFERROR(__xludf.DUMMYFUNCTION("IMPORTRANGE(""https://docs.google.com/spreadsheets/d/1QqKyyYR6Q21VydFLVH3TRQUabQu_ym0Zz7PgGX0-kHA/edit?usp=sharing"",""แผน!EU49"")"),350)</f>
        <v>350</v>
      </c>
      <c r="J374" s="490">
        <f ca="1">J381</f>
        <v>246</v>
      </c>
      <c r="K374" s="491">
        <f t="shared" ca="1" si="163"/>
        <v>70.285714285714292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500" t="s">
        <v>38</v>
      </c>
      <c r="E376" s="173"/>
      <c r="F376" s="173"/>
      <c r="G376" s="174"/>
      <c r="H376" s="755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IFERROR(__xludf.DUMMYFUNCTION("IMPORTRANGE(""https://docs.google.com/spreadsheets/d/1XWAQStnk-4SwqDmLtmXYiTMKHgktTP8We1SCoS47DrQ/edit?usp=sharing"",""จัดที่ดิน!AH49"")"),48)</f>
        <v>48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IFERROR(__xludf.DUMMYFUNCTION("IMPORTRANGE(""https://docs.google.com/spreadsheets/d/1XWAQStnk-4SwqDmLtmXYiTMKHgktTP8We1SCoS47DrQ/edit?usp=sharing"",""จัดที่ดิน!AI49"")"),317.25)</f>
        <v>317.25</v>
      </c>
      <c r="K378" s="497">
        <f t="shared" ca="1" si="164"/>
        <v>21.15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7" t="s">
        <v>35</v>
      </c>
      <c r="I379" s="270">
        <f ca="1">IFERROR(__xludf.DUMMYFUNCTION("IMPORTRANGE(""https://docs.google.com/spreadsheets/d/1QqKyyYR6Q21VydFLVH3TRQUabQu_ym0Zz7PgGX0-kHA/edit?usp=sharing"",""แผน!EU49"")"),350)</f>
        <v>350</v>
      </c>
      <c r="J379" s="270">
        <f ca="1">IFERROR(__xludf.DUMMYFUNCTION("IMPORTRANGE(""https://docs.google.com/spreadsheets/d/1XWAQStnk-4SwqDmLtmXYiTMKHgktTP8We1SCoS47DrQ/edit?usp=sharing"",""จัดที่ดิน!AJ49"")"),294)</f>
        <v>294</v>
      </c>
      <c r="K379" s="497">
        <f t="shared" ca="1" si="164"/>
        <v>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7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IFERROR(__xludf.DUMMYFUNCTION("IMPORTRANGE(""https://docs.google.com/spreadsheets/d/1XWAQStnk-4SwqDmLtmXYiTMKHgktTP8We1SCoS47DrQ/edit?usp=sharing"",""จัดที่ดิน!AK49"")"),2403.43)</f>
        <v>2403.4299999999998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7" t="s">
        <v>35</v>
      </c>
      <c r="I381" s="270">
        <f ca="1">IFERROR(__xludf.DUMMYFUNCTION("IMPORTRANGE(""https://docs.google.com/spreadsheets/d/1QqKyyYR6Q21VydFLVH3TRQUabQu_ym0Zz7PgGX0-kHA/edit?usp=sharing"",""แผน!EU49"")"),350)</f>
        <v>350</v>
      </c>
      <c r="J381" s="270">
        <f ca="1">IFERROR(__xludf.DUMMYFUNCTION("IMPORTRANGE(""https://docs.google.com/spreadsheets/d/1XWAQStnk-4SwqDmLtmXYiTMKHgktTP8We1SCoS47DrQ/edit?usp=sharing"",""จัดที่ดิน!AL49"")"),246)</f>
        <v>246</v>
      </c>
      <c r="K381" s="497">
        <f t="shared" ca="1" si="164"/>
        <v>70.285714285714292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7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IFERROR(__xludf.DUMMYFUNCTION("IMPORTRANGE(""https://docs.google.com/spreadsheets/d/1XWAQStnk-4SwqDmLtmXYiTMKHgktTP8We1SCoS47DrQ/edit?usp=sharing"",""จัดที่ดิน!AM49"")"),2086.18)</f>
        <v>2086.1799999999998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1509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500" t="s">
        <v>38</v>
      </c>
      <c r="E384" s="173"/>
      <c r="F384" s="173"/>
      <c r="G384" s="174"/>
      <c r="H384" s="755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IFERROR(__xludf.DUMMYFUNCTION("IMPORTRANGE(""https://docs.google.com/spreadsheets/d/1QqKyyYR6Q21VydFLVH3TRQUabQu_ym0Zz7PgGX0-kHA/edit?usp=sharing"",""แผน!EW49"")"),30)</f>
        <v>30</v>
      </c>
      <c r="J385" s="500">
        <f ca="1">IFERROR(__xludf.DUMMYFUNCTION("IMPORTRANGE(""https://docs.google.com/spreadsheets/d/1XWAQStnk-4SwqDmLtmXYiTMKHgktTP8We1SCoS47DrQ/edit?usp=sharing"",""จัดที่ดิน!AP49"")"),3)</f>
        <v>3</v>
      </c>
      <c r="K385" s="501">
        <f ca="1">IF(I385&gt;0,J385*100/I385,0)</f>
        <v>10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1499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500" t="s">
        <v>38</v>
      </c>
      <c r="E398" s="173"/>
      <c r="F398" s="173"/>
      <c r="G398" s="174"/>
      <c r="H398" s="755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1499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1511" t="s">
        <v>38</v>
      </c>
      <c r="E411" s="530"/>
      <c r="F411" s="530"/>
      <c r="G411" s="531"/>
      <c r="H411" s="755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1488361</v>
      </c>
      <c r="M414" s="548">
        <f t="shared" si="181"/>
        <v>0</v>
      </c>
      <c r="N414" s="548">
        <f t="shared" si="181"/>
        <v>242825</v>
      </c>
      <c r="O414" s="548">
        <f ca="1">IF(L414&gt;0,N414*100/L414,0)</f>
        <v>16.314926284684965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1566" t="s">
        <v>17</v>
      </c>
      <c r="E419" s="1535"/>
      <c r="F419" s="1535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si="184"/>
        <v>0</v>
      </c>
      <c r="N419" s="155">
        <f t="shared" si="184"/>
        <v>0</v>
      </c>
      <c r="O419" s="155">
        <f t="shared" ref="O419:O424" ca="1" si="185">IF(L419&gt;0,N419*100/L419,0)</f>
        <v>0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102860</v>
      </c>
      <c r="M421" s="93">
        <f t="shared" si="187"/>
        <v>0</v>
      </c>
      <c r="N421" s="93">
        <f t="shared" si="187"/>
        <v>0</v>
      </c>
      <c r="O421" s="93">
        <f t="shared" ca="1" si="185"/>
        <v>0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si="188"/>
        <v>0</v>
      </c>
      <c r="N422" s="497">
        <f t="shared" si="188"/>
        <v>0</v>
      </c>
      <c r="O422" s="497">
        <f t="shared" ca="1" si="185"/>
        <v>0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v>0</v>
      </c>
      <c r="N424" s="93">
        <f>N425+N426+N427+N428</f>
        <v>0</v>
      </c>
      <c r="O424" s="93">
        <f t="shared" ca="1" si="185"/>
        <v>0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6"/>
      <c r="D425" s="756"/>
      <c r="E425" s="756"/>
      <c r="F425" s="756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833">
        <v>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6"/>
      <c r="D426" s="756"/>
      <c r="E426" s="756"/>
      <c r="F426" s="756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833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6"/>
      <c r="D427" s="756"/>
      <c r="E427" s="756"/>
      <c r="F427" s="756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833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4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833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1512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4">
        <f ca="1">I435</f>
        <v>20</v>
      </c>
      <c r="J433" s="674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4">
        <f t="shared" ref="I434:J434" ca="1" si="193">I438+I440</f>
        <v>1</v>
      </c>
      <c r="J434" s="674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IFERROR(__xludf.DUMMYFUNCTION("IMPORTRANGE(""https://docs.google.com/spreadsheets/d/1QqKyyYR6Q21VydFLVH3TRQUabQu_ym0Zz7PgGX0-kHA/edit?usp=sharing"",""แผน!FC49"")"),20)</f>
        <v>20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IFERROR(__xludf.DUMMYFUNCTION("IMPORTRANGE(""https://docs.google.com/spreadsheets/d/1QqKyyYR6Q21VydFLVH3TRQUabQu_ym0Zz7PgGX0-kHA/edit?usp=sharing"",""แผน!FD49"")"),0)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IFERROR(__xludf.DUMMYFUNCTION("IMPORTRANGE(""https://docs.google.com/spreadsheets/d/1QqKyyYR6Q21VydFLVH3TRQUabQu_ym0Zz7PgGX0-kHA/edit?usp=sharing"",""แผน!FF49"")"),20)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30</v>
      </c>
      <c r="J442" s="584">
        <f t="shared" si="195"/>
        <v>15</v>
      </c>
      <c r="K442" s="585">
        <f t="shared" ca="1" si="194"/>
        <v>50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150</v>
      </c>
      <c r="J443" s="564">
        <f t="shared" si="196"/>
        <v>75</v>
      </c>
      <c r="K443" s="565">
        <f t="shared" ca="1" si="194"/>
        <v>50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6"/>
      <c r="C444" s="756" t="s">
        <v>16</v>
      </c>
      <c r="D444" s="1532" t="s">
        <v>17</v>
      </c>
      <c r="E444" s="1533"/>
      <c r="F444" s="1533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si="197"/>
        <v>0</v>
      </c>
      <c r="N444" s="195">
        <f t="shared" si="197"/>
        <v>26325</v>
      </c>
      <c r="O444" s="195">
        <f t="shared" ref="O444:O449" ca="1" si="198">IF(L444&gt;0,N444*100/L444,0)</f>
        <v>12.447985625118214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2"/>
      <c r="C445" s="752"/>
      <c r="D445" s="713"/>
      <c r="E445" s="752" t="s">
        <v>184</v>
      </c>
      <c r="F445" s="752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2"/>
      <c r="D446" s="713"/>
      <c r="E446" s="752" t="s">
        <v>185</v>
      </c>
      <c r="F446" s="752"/>
      <c r="G446" s="597"/>
      <c r="H446" s="165" t="s">
        <v>12</v>
      </c>
      <c r="I446" s="611"/>
      <c r="J446" s="611"/>
      <c r="K446" s="93"/>
      <c r="L446" s="93">
        <f t="shared" ca="1" si="200"/>
        <v>211480</v>
      </c>
      <c r="M446" s="93">
        <f t="shared" si="200"/>
        <v>0</v>
      </c>
      <c r="N446" s="93">
        <f t="shared" si="200"/>
        <v>26325</v>
      </c>
      <c r="O446" s="93">
        <f t="shared" ca="1" si="198"/>
        <v>12.447985625118214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6"/>
      <c r="D447" s="600" t="s">
        <v>20</v>
      </c>
      <c r="E447" s="756"/>
      <c r="F447" s="756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si="201"/>
        <v>0</v>
      </c>
      <c r="N447" s="497">
        <f t="shared" si="201"/>
        <v>26325</v>
      </c>
      <c r="O447" s="497">
        <f t="shared" ca="1" si="198"/>
        <v>12.447985625118214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2"/>
      <c r="D448" s="713"/>
      <c r="E448" s="752" t="s">
        <v>184</v>
      </c>
      <c r="F448" s="752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2"/>
      <c r="D449" s="713"/>
      <c r="E449" s="752" t="s">
        <v>185</v>
      </c>
      <c r="F449" s="752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v>0</v>
      </c>
      <c r="N449" s="93">
        <f>N450+N451+N452+N453</f>
        <v>26325</v>
      </c>
      <c r="O449" s="93">
        <f t="shared" ca="1" si="198"/>
        <v>12.447985625118214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6"/>
      <c r="D450" s="756"/>
      <c r="E450" s="756"/>
      <c r="F450" s="756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833">
        <v>23635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6"/>
      <c r="D451" s="756"/>
      <c r="E451" s="756"/>
      <c r="F451" s="756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833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6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833">
        <v>450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6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833">
        <v>2240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6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2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2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1513" t="s">
        <v>38</v>
      </c>
      <c r="E457" s="605"/>
      <c r="F457" s="754"/>
      <c r="G457" s="607"/>
      <c r="H457" s="755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3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3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5"/>
      <c r="H460" s="757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15</v>
      </c>
      <c r="K460" s="497">
        <f ca="1">IF(I460&gt;0,J460*100/I460,0)</f>
        <v>50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5"/>
      <c r="H461" s="757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5"/>
      <c r="H462" s="757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75</v>
      </c>
      <c r="K462" s="497">
        <f ca="1">IF(I462&gt;0,J462*100/I462,0)</f>
        <v>50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6"/>
      <c r="G463" s="189"/>
      <c r="H463" s="757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7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IFERROR(__xludf.DUMMYFUNCTION("IMPORTRANGE(""https://docs.google.com/spreadsheets/d/1QqKyyYR6Q21VydFLVH3TRQUabQu_ym0Zz7PgGX0-kHA/edit?usp=sharing"",""แผน!FX49"")"),51)</f>
        <v>51</v>
      </c>
      <c r="J465" s="584">
        <f>J485+J489+J492</f>
        <v>51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IFERROR(__xludf.DUMMYFUNCTION("IMPORTRANGE(""https://docs.google.com/spreadsheets/d/1QqKyyYR6Q21VydFLVH3TRQUabQu_ym0Zz7PgGX0-kHA/edit?usp=sharing"",""แผน!FW49"")"),500)</f>
        <v>500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6"/>
      <c r="C467" s="756" t="s">
        <v>16</v>
      </c>
      <c r="D467" s="1532" t="s">
        <v>17</v>
      </c>
      <c r="E467" s="1533"/>
      <c r="F467" s="1533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si="206"/>
        <v>0</v>
      </c>
      <c r="N467" s="195">
        <f t="shared" si="206"/>
        <v>70825</v>
      </c>
      <c r="O467" s="195">
        <f t="shared" ref="O467:O472" ca="1" si="207">IF(L467&gt;0,N467*100/L467,0)</f>
        <v>17.075193534932723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2"/>
      <c r="C468" s="752"/>
      <c r="D468" s="713"/>
      <c r="E468" s="752" t="s">
        <v>184</v>
      </c>
      <c r="F468" s="752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2"/>
      <c r="D469" s="713"/>
      <c r="E469" s="752" t="s">
        <v>185</v>
      </c>
      <c r="F469" s="752"/>
      <c r="G469" s="597"/>
      <c r="H469" s="165" t="s">
        <v>12</v>
      </c>
      <c r="I469" s="611"/>
      <c r="J469" s="611"/>
      <c r="K469" s="93"/>
      <c r="L469" s="93">
        <f t="shared" ca="1" si="209"/>
        <v>414783</v>
      </c>
      <c r="M469" s="93">
        <f t="shared" si="209"/>
        <v>0</v>
      </c>
      <c r="N469" s="93">
        <f t="shared" si="209"/>
        <v>70825</v>
      </c>
      <c r="O469" s="93">
        <f t="shared" ca="1" si="207"/>
        <v>17.075193534932723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6"/>
      <c r="D470" s="600" t="s">
        <v>20</v>
      </c>
      <c r="E470" s="756"/>
      <c r="F470" s="756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si="210"/>
        <v>0</v>
      </c>
      <c r="N470" s="497">
        <f t="shared" si="210"/>
        <v>70825</v>
      </c>
      <c r="O470" s="497">
        <f t="shared" ca="1" si="207"/>
        <v>17.075193534932723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2"/>
      <c r="D471" s="713"/>
      <c r="E471" s="752" t="s">
        <v>184</v>
      </c>
      <c r="F471" s="752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2"/>
      <c r="D472" s="713"/>
      <c r="E472" s="752" t="s">
        <v>185</v>
      </c>
      <c r="F472" s="752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v>0</v>
      </c>
      <c r="N472" s="93">
        <f>N473+N474+N475+N476</f>
        <v>70825</v>
      </c>
      <c r="O472" s="93">
        <f t="shared" ca="1" si="207"/>
        <v>17.075193534932723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6"/>
      <c r="D473" s="756"/>
      <c r="E473" s="756"/>
      <c r="F473" s="756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833">
        <v>56250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6"/>
      <c r="D474" s="756"/>
      <c r="E474" s="756"/>
      <c r="F474" s="756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833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6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833">
        <v>1875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6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833">
        <v>12700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1514" t="s">
        <v>38</v>
      </c>
      <c r="E480" s="605"/>
      <c r="F480" s="754"/>
      <c r="G480" s="607"/>
      <c r="H480" s="755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5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5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5"/>
      <c r="H483" s="617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5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5"/>
      <c r="H485" s="617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5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5"/>
      <c r="H487" s="617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5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5"/>
      <c r="H489" s="617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5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5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5"/>
      <c r="H492" s="617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5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5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5"/>
      <c r="H495" s="617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5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5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5"/>
      <c r="H498" s="617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5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2"/>
      <c r="C502" s="752" t="s">
        <v>16</v>
      </c>
      <c r="D502" s="1537" t="s">
        <v>17</v>
      </c>
      <c r="E502" s="1533"/>
      <c r="F502" s="1533"/>
      <c r="G502" s="597"/>
      <c r="H502" s="639" t="s">
        <v>12</v>
      </c>
      <c r="I502" s="611"/>
      <c r="J502" s="611"/>
      <c r="K502" s="93"/>
      <c r="L502" s="640">
        <f t="shared" ref="L502:N502" si="216">L503+L504</f>
        <v>0</v>
      </c>
      <c r="M502" s="640">
        <f t="shared" si="216"/>
        <v>0</v>
      </c>
      <c r="N502" s="640">
        <f t="shared" si="216"/>
        <v>0</v>
      </c>
      <c r="O502" s="640">
        <f t="shared" ref="O502:O507" si="217">IF(L502&gt;0,N502*100/L502,0)</f>
        <v>0</v>
      </c>
      <c r="P502" s="640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2"/>
      <c r="C503" s="752"/>
      <c r="D503" s="713"/>
      <c r="E503" s="752" t="s">
        <v>184</v>
      </c>
      <c r="F503" s="752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2"/>
      <c r="D504" s="713"/>
      <c r="E504" s="752" t="s">
        <v>185</v>
      </c>
      <c r="F504" s="752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2"/>
      <c r="D505" s="641" t="s">
        <v>20</v>
      </c>
      <c r="E505" s="752"/>
      <c r="F505" s="752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2"/>
      <c r="D506" s="713"/>
      <c r="E506" s="752" t="s">
        <v>184</v>
      </c>
      <c r="F506" s="752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2"/>
      <c r="D507" s="713"/>
      <c r="E507" s="752" t="s">
        <v>185</v>
      </c>
      <c r="F507" s="752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2"/>
      <c r="B508" s="601"/>
      <c r="C508" s="752"/>
      <c r="D508" s="752"/>
      <c r="E508" s="752"/>
      <c r="F508" s="752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2"/>
      <c r="B509" s="601"/>
      <c r="C509" s="752"/>
      <c r="D509" s="752"/>
      <c r="E509" s="752"/>
      <c r="F509" s="752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2"/>
      <c r="B510" s="601"/>
      <c r="C510" s="601"/>
      <c r="D510" s="601"/>
      <c r="E510" s="752"/>
      <c r="F510" s="752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2"/>
      <c r="B511" s="601"/>
      <c r="C511" s="601"/>
      <c r="D511" s="601"/>
      <c r="E511" s="752"/>
      <c r="F511" s="752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1" t="s">
        <v>21</v>
      </c>
      <c r="E512" s="601"/>
      <c r="F512" s="752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2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2"/>
      <c r="E514" s="601" t="s">
        <v>19</v>
      </c>
      <c r="F514" s="752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1515" t="s">
        <v>38</v>
      </c>
      <c r="E515" s="644"/>
      <c r="F515" s="644"/>
      <c r="G515" s="645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3"/>
      <c r="F516" s="713"/>
      <c r="G516" s="366"/>
      <c r="H516" s="646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3"/>
      <c r="F517" s="713"/>
      <c r="G517" s="366"/>
      <c r="H517" s="647" t="s">
        <v>35</v>
      </c>
      <c r="I517" s="648"/>
      <c r="J517" s="648">
        <f>J518+J519</f>
        <v>0</v>
      </c>
      <c r="K517" s="649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3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3"/>
      <c r="G519" s="366"/>
      <c r="H519" s="646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0" t="s">
        <v>137</v>
      </c>
      <c r="B520" s="651"/>
      <c r="C520" s="651"/>
      <c r="D520" s="652"/>
      <c r="E520" s="652"/>
      <c r="F520" s="652"/>
      <c r="G520" s="653"/>
      <c r="H520" s="654"/>
      <c r="I520" s="655"/>
      <c r="J520" s="655"/>
      <c r="K520" s="656"/>
      <c r="L520" s="656"/>
      <c r="M520" s="656"/>
      <c r="N520" s="656"/>
      <c r="O520" s="656"/>
      <c r="P520" s="656"/>
    </row>
    <row r="521" spans="1:26" ht="19.5" hidden="1">
      <c r="A521" s="657">
        <v>5</v>
      </c>
      <c r="B521" s="658" t="s">
        <v>225</v>
      </c>
      <c r="C521" s="659"/>
      <c r="D521" s="660"/>
      <c r="E521" s="660"/>
      <c r="F521" s="660"/>
      <c r="G521" s="660"/>
      <c r="H521" s="661"/>
      <c r="I521" s="662"/>
      <c r="J521" s="662"/>
      <c r="K521" s="663"/>
      <c r="L521" s="663"/>
      <c r="M521" s="663"/>
      <c r="N521" s="663"/>
      <c r="O521" s="663"/>
      <c r="P521" s="663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4"/>
      <c r="B522" s="665" t="s">
        <v>226</v>
      </c>
      <c r="C522" s="666"/>
      <c r="D522" s="666"/>
      <c r="E522" s="666"/>
      <c r="F522" s="666"/>
      <c r="G522" s="667"/>
      <c r="H522" s="668" t="s">
        <v>35</v>
      </c>
      <c r="I522" s="701">
        <f t="shared" ref="I522:J522" ca="1" si="225">I537</f>
        <v>0</v>
      </c>
      <c r="J522" s="701">
        <f t="shared" ca="1" si="225"/>
        <v>0</v>
      </c>
      <c r="K522" s="670">
        <f ca="1">IF(I522&gt;0,J522*100/I522,0)</f>
        <v>0</v>
      </c>
      <c r="L522" s="671"/>
      <c r="M522" s="671"/>
      <c r="N522" s="671"/>
      <c r="O522" s="671"/>
      <c r="P522" s="671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6"/>
      <c r="C523" s="756" t="s">
        <v>16</v>
      </c>
      <c r="D523" s="1532" t="s">
        <v>17</v>
      </c>
      <c r="E523" s="1533"/>
      <c r="F523" s="1533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2"/>
      <c r="C524" s="752"/>
      <c r="D524" s="713"/>
      <c r="E524" s="752" t="s">
        <v>184</v>
      </c>
      <c r="F524" s="752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2"/>
      <c r="D525" s="713"/>
      <c r="E525" s="752" t="s">
        <v>185</v>
      </c>
      <c r="F525" s="752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6"/>
      <c r="D526" s="600" t="s">
        <v>20</v>
      </c>
      <c r="E526" s="756"/>
      <c r="F526" s="756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2"/>
      <c r="D527" s="713"/>
      <c r="E527" s="752" t="s">
        <v>184</v>
      </c>
      <c r="F527" s="752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2"/>
      <c r="D528" s="713"/>
      <c r="E528" s="752" t="s">
        <v>185</v>
      </c>
      <c r="F528" s="752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6"/>
      <c r="D529" s="756"/>
      <c r="E529" s="756"/>
      <c r="F529" s="756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833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6"/>
      <c r="D530" s="756"/>
      <c r="E530" s="756"/>
      <c r="F530" s="756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833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6"/>
      <c r="D531" s="756"/>
      <c r="E531" s="756"/>
      <c r="F531" s="756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833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6"/>
      <c r="D532" s="756"/>
      <c r="E532" s="756"/>
      <c r="F532" s="756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833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6"/>
      <c r="D533" s="600" t="s">
        <v>21</v>
      </c>
      <c r="E533" s="756"/>
      <c r="F533" s="756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2"/>
      <c r="D534" s="752"/>
      <c r="E534" s="752" t="s">
        <v>18</v>
      </c>
      <c r="F534" s="752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2"/>
      <c r="D535" s="752"/>
      <c r="E535" s="752" t="s">
        <v>19</v>
      </c>
      <c r="F535" s="752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6" t="s">
        <v>16</v>
      </c>
      <c r="D536" s="1516" t="s">
        <v>38</v>
      </c>
      <c r="E536" s="754"/>
      <c r="F536" s="754"/>
      <c r="G536" s="607"/>
      <c r="H536" s="755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6"/>
      <c r="D537" s="756" t="s">
        <v>227</v>
      </c>
      <c r="E537" s="756"/>
      <c r="F537" s="756"/>
      <c r="G537" s="189"/>
      <c r="H537" s="617" t="s">
        <v>35</v>
      </c>
      <c r="I537" s="674">
        <f ca="1">IFERROR(__xludf.DUMMYFUNCTION("IMPORTRANGE(""https://docs.google.com/spreadsheets/d/1QqKyyYR6Q21VydFLVH3TRQUabQu_ym0Zz7PgGX0-kHA/edit?usp=sharing"",""แผน!GU49"")"),0)</f>
        <v>0</v>
      </c>
      <c r="J537" s="674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5"/>
      <c r="R537" s="675"/>
      <c r="S537" s="675"/>
      <c r="T537" s="675"/>
      <c r="U537" s="675"/>
      <c r="V537" s="675"/>
      <c r="W537" s="675"/>
      <c r="X537" s="675"/>
      <c r="Y537" s="675"/>
      <c r="Z537" s="675"/>
    </row>
    <row r="538" spans="1:26" ht="18.75" hidden="1">
      <c r="A538" s="568"/>
      <c r="B538" s="569"/>
      <c r="C538" s="756"/>
      <c r="D538" s="756"/>
      <c r="E538" s="756" t="s">
        <v>228</v>
      </c>
      <c r="F538" s="756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5"/>
      <c r="R538" s="675"/>
      <c r="S538" s="675"/>
      <c r="T538" s="675"/>
      <c r="U538" s="675"/>
      <c r="V538" s="675"/>
      <c r="W538" s="675"/>
      <c r="X538" s="675"/>
      <c r="Y538" s="675"/>
      <c r="Z538" s="675"/>
    </row>
    <row r="539" spans="1:26" ht="18.75" hidden="1">
      <c r="A539" s="568"/>
      <c r="B539" s="569"/>
      <c r="C539" s="756"/>
      <c r="D539" s="756"/>
      <c r="E539" s="756" t="s">
        <v>229</v>
      </c>
      <c r="F539" s="756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5"/>
      <c r="R539" s="675"/>
      <c r="S539" s="675"/>
      <c r="T539" s="675"/>
      <c r="U539" s="675"/>
      <c r="V539" s="675"/>
      <c r="W539" s="675"/>
      <c r="X539" s="675"/>
      <c r="Y539" s="675"/>
      <c r="Z539" s="675"/>
    </row>
    <row r="540" spans="1:26" ht="18.75" hidden="1">
      <c r="A540" s="568"/>
      <c r="B540" s="569"/>
      <c r="C540" s="756"/>
      <c r="D540" s="756"/>
      <c r="E540" s="756" t="s">
        <v>230</v>
      </c>
      <c r="F540" s="756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5"/>
      <c r="R540" s="675"/>
      <c r="S540" s="675"/>
      <c r="T540" s="675"/>
      <c r="U540" s="675"/>
      <c r="V540" s="675"/>
      <c r="W540" s="675"/>
      <c r="X540" s="675"/>
      <c r="Y540" s="675"/>
      <c r="Z540" s="675"/>
    </row>
    <row r="541" spans="1:26" ht="18.75" hidden="1">
      <c r="A541" s="568"/>
      <c r="B541" s="569"/>
      <c r="C541" s="756"/>
      <c r="D541" s="756"/>
      <c r="E541" s="762" t="s">
        <v>231</v>
      </c>
      <c r="F541" s="756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5"/>
      <c r="R541" s="675"/>
      <c r="S541" s="675"/>
      <c r="T541" s="675"/>
      <c r="U541" s="675"/>
      <c r="V541" s="675"/>
      <c r="W541" s="675"/>
      <c r="X541" s="675"/>
      <c r="Y541" s="675"/>
      <c r="Z541" s="675"/>
    </row>
    <row r="542" spans="1:26" ht="18.75" hidden="1">
      <c r="A542" s="568"/>
      <c r="B542" s="569"/>
      <c r="C542" s="756"/>
      <c r="D542" s="756" t="s">
        <v>59</v>
      </c>
      <c r="E542" s="756"/>
      <c r="F542" s="756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5"/>
      <c r="R542" s="675"/>
      <c r="S542" s="675"/>
      <c r="T542" s="675"/>
      <c r="U542" s="675"/>
      <c r="V542" s="675"/>
      <c r="W542" s="675"/>
      <c r="X542" s="675"/>
      <c r="Y542" s="675"/>
      <c r="Z542" s="675"/>
    </row>
    <row r="543" spans="1:26" ht="19.5">
      <c r="A543" s="657">
        <v>6</v>
      </c>
      <c r="B543" s="678" t="s">
        <v>232</v>
      </c>
      <c r="C543" s="660"/>
      <c r="D543" s="660"/>
      <c r="E543" s="660"/>
      <c r="F543" s="660"/>
      <c r="G543" s="661"/>
      <c r="H543" s="679" t="s">
        <v>46</v>
      </c>
      <c r="I543" s="680">
        <f t="shared" ref="I543:J543" ca="1" si="235">I559</f>
        <v>22152</v>
      </c>
      <c r="J543" s="680">
        <f t="shared" si="235"/>
        <v>0</v>
      </c>
      <c r="K543" s="681">
        <f t="shared" ca="1" si="234"/>
        <v>0</v>
      </c>
      <c r="L543" s="663"/>
      <c r="M543" s="663"/>
      <c r="N543" s="663"/>
      <c r="O543" s="663"/>
      <c r="P543" s="663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2"/>
      <c r="B544" s="683"/>
      <c r="C544" s="683" t="s">
        <v>16</v>
      </c>
      <c r="D544" s="1567" t="s">
        <v>17</v>
      </c>
      <c r="E544" s="1535"/>
      <c r="F544" s="1535"/>
      <c r="G544" s="684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si="236"/>
        <v>0</v>
      </c>
      <c r="N544" s="155">
        <f t="shared" si="236"/>
        <v>78675</v>
      </c>
      <c r="O544" s="155">
        <f t="shared" ref="O544:O549" ca="1" si="237">IF(L544&gt;0,N544*100/L544,0)</f>
        <v>19.796785711589706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2"/>
      <c r="C545" s="752"/>
      <c r="D545" s="752"/>
      <c r="E545" s="752" t="s">
        <v>184</v>
      </c>
      <c r="F545" s="752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2"/>
      <c r="D546" s="752"/>
      <c r="E546" s="752" t="s">
        <v>185</v>
      </c>
      <c r="F546" s="752"/>
      <c r="G546" s="597"/>
      <c r="H546" s="165" t="s">
        <v>12</v>
      </c>
      <c r="I546" s="611"/>
      <c r="J546" s="611"/>
      <c r="K546" s="93"/>
      <c r="L546" s="93">
        <f t="shared" ca="1" si="239"/>
        <v>397413</v>
      </c>
      <c r="M546" s="93">
        <f t="shared" si="240"/>
        <v>0</v>
      </c>
      <c r="N546" s="93">
        <f t="shared" si="240"/>
        <v>78675</v>
      </c>
      <c r="O546" s="93">
        <f t="shared" ca="1" si="237"/>
        <v>19.796785711589706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6"/>
      <c r="D547" s="600" t="s">
        <v>20</v>
      </c>
      <c r="E547" s="756"/>
      <c r="F547" s="756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si="241"/>
        <v>0</v>
      </c>
      <c r="N547" s="497">
        <f t="shared" si="241"/>
        <v>78675</v>
      </c>
      <c r="O547" s="497">
        <f t="shared" ca="1" si="237"/>
        <v>19.796785711589706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2"/>
      <c r="D548" s="713"/>
      <c r="E548" s="752" t="s">
        <v>184</v>
      </c>
      <c r="F548" s="752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2"/>
      <c r="D549" s="713"/>
      <c r="E549" s="752" t="s">
        <v>185</v>
      </c>
      <c r="F549" s="752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v>0</v>
      </c>
      <c r="N549" s="93">
        <f>N550+N551+N552+N553+N554</f>
        <v>78675</v>
      </c>
      <c r="O549" s="93">
        <f t="shared" ca="1" si="237"/>
        <v>19.796785711589706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6"/>
      <c r="D550" s="756"/>
      <c r="E550" s="756"/>
      <c r="F550" s="756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833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6"/>
      <c r="F551" s="756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833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6"/>
      <c r="D552" s="756"/>
      <c r="E552" s="756"/>
      <c r="F552" s="756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833">
        <v>52000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6"/>
      <c r="F553" s="756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833">
        <v>26675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6"/>
      <c r="F554" s="756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833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6"/>
      <c r="F555" s="756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2"/>
      <c r="E556" s="752" t="s">
        <v>18</v>
      </c>
      <c r="F556" s="752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2"/>
      <c r="E557" s="752" t="s">
        <v>19</v>
      </c>
      <c r="F557" s="752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1516" t="s">
        <v>38</v>
      </c>
      <c r="E558" s="754"/>
      <c r="F558" s="754"/>
      <c r="G558" s="607"/>
      <c r="H558" s="755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5"/>
      <c r="B559" s="686" t="s">
        <v>234</v>
      </c>
      <c r="C559" s="687"/>
      <c r="D559" s="687"/>
      <c r="E559" s="666"/>
      <c r="F559" s="666"/>
      <c r="G559" s="667"/>
      <c r="H559" s="688" t="s">
        <v>46</v>
      </c>
      <c r="I559" s="701">
        <f t="shared" ref="I559:J559" ca="1" si="245">I576</f>
        <v>22152</v>
      </c>
      <c r="J559" s="701">
        <f t="shared" si="245"/>
        <v>0</v>
      </c>
      <c r="K559" s="670">
        <f t="shared" ref="K559:K561" ca="1" si="246">IF(I559&gt;0,J559*100/I559,0)</f>
        <v>0</v>
      </c>
      <c r="L559" s="671"/>
      <c r="M559" s="671"/>
      <c r="N559" s="671"/>
      <c r="O559" s="671"/>
      <c r="P559" s="671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5"/>
      <c r="H560" s="760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5"/>
      <c r="H561" s="760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5"/>
      <c r="H562" s="757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5"/>
      <c r="H563" s="757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5"/>
      <c r="H564" s="757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5"/>
      <c r="H565" s="757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5"/>
      <c r="H566" s="757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5"/>
      <c r="H567" s="757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5"/>
      <c r="H568" s="760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4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5"/>
      <c r="H569" s="760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4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5"/>
      <c r="H570" s="757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5"/>
      <c r="H571" s="757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5"/>
      <c r="H572" s="757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5"/>
      <c r="H573" s="757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5"/>
      <c r="H574" s="757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5"/>
      <c r="H575" s="757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5"/>
      <c r="H576" s="760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4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5"/>
      <c r="H577" s="760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4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5"/>
      <c r="H578" s="757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5"/>
      <c r="H579" s="757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5"/>
      <c r="H580" s="757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5"/>
      <c r="H581" s="757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5"/>
      <c r="H582" s="757" t="s">
        <v>46</v>
      </c>
      <c r="I582" s="184"/>
      <c r="J582" s="674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5"/>
      <c r="H583" s="757" t="s">
        <v>34</v>
      </c>
      <c r="I583" s="184"/>
      <c r="J583" s="674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5"/>
      <c r="H584" s="757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5"/>
      <c r="H585" s="757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5"/>
      <c r="H586" s="757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5"/>
      <c r="H587" s="757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5"/>
      <c r="H588" s="757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5"/>
      <c r="H589" s="757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5"/>
      <c r="H590" s="757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89"/>
      <c r="B591" s="690"/>
      <c r="C591" s="690"/>
      <c r="D591" s="690"/>
      <c r="E591" s="572"/>
      <c r="F591" s="572"/>
      <c r="G591" s="691"/>
      <c r="H591" s="692" t="s">
        <v>34</v>
      </c>
      <c r="I591" s="693"/>
      <c r="J591" s="694">
        <v>0</v>
      </c>
      <c r="K591" s="695"/>
      <c r="L591" s="695"/>
      <c r="M591" s="695"/>
      <c r="N591" s="695"/>
      <c r="O591" s="695"/>
      <c r="P591" s="695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5"/>
      <c r="B592" s="686" t="s">
        <v>251</v>
      </c>
      <c r="C592" s="687"/>
      <c r="D592" s="687"/>
      <c r="E592" s="666"/>
      <c r="F592" s="666"/>
      <c r="G592" s="667"/>
      <c r="H592" s="688" t="s">
        <v>46</v>
      </c>
      <c r="I592" s="696">
        <f t="shared" ref="I592:J592" ca="1" si="253">I593</f>
        <v>1063.5999999999999</v>
      </c>
      <c r="J592" s="701">
        <f t="shared" si="253"/>
        <v>1063.8499999999999</v>
      </c>
      <c r="K592" s="670">
        <f t="shared" ref="K592:K594" ca="1" si="254">IF(I592&gt;0,J592*100/I592,0)</f>
        <v>100.02350507709664</v>
      </c>
      <c r="L592" s="671"/>
      <c r="M592" s="671"/>
      <c r="N592" s="671"/>
      <c r="O592" s="671"/>
      <c r="P592" s="671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5"/>
      <c r="H593" s="760" t="s">
        <v>46</v>
      </c>
      <c r="I593" s="697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5"/>
      <c r="H594" s="760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5"/>
      <c r="H595" s="757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5"/>
      <c r="H596" s="757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39" t="s">
        <v>254</v>
      </c>
      <c r="E597" s="620"/>
      <c r="F597" s="620"/>
      <c r="G597" s="755"/>
      <c r="H597" s="757" t="s">
        <v>46</v>
      </c>
      <c r="I597" s="184"/>
      <c r="J597" s="1517">
        <v>1033.28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5"/>
      <c r="H598" s="757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39" t="s">
        <v>255</v>
      </c>
      <c r="E599" s="620"/>
      <c r="F599" s="620"/>
      <c r="G599" s="755"/>
      <c r="H599" s="757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5"/>
      <c r="H600" s="757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39" t="s">
        <v>256</v>
      </c>
      <c r="E601" s="620"/>
      <c r="F601" s="620"/>
      <c r="G601" s="755"/>
      <c r="H601" s="757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5"/>
      <c r="H602" s="757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8" t="s">
        <v>257</v>
      </c>
      <c r="D603" s="612"/>
      <c r="E603" s="612"/>
      <c r="F603" s="620"/>
      <c r="G603" s="755"/>
      <c r="H603" s="757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5"/>
      <c r="H604" s="757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8" t="s">
        <v>258</v>
      </c>
      <c r="E605" s="620"/>
      <c r="F605" s="620"/>
      <c r="G605" s="755"/>
      <c r="H605" s="757" t="s">
        <v>46</v>
      </c>
      <c r="I605" s="270"/>
      <c r="J605" s="1517">
        <v>30.32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5"/>
      <c r="H606" s="757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8" t="s">
        <v>259</v>
      </c>
      <c r="E607" s="612"/>
      <c r="F607" s="620"/>
      <c r="G607" s="755"/>
      <c r="H607" s="757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5"/>
      <c r="H608" s="757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5"/>
      <c r="H609" s="757" t="s">
        <v>46</v>
      </c>
      <c r="I609" s="270"/>
      <c r="J609" s="1517">
        <v>0.25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5"/>
      <c r="H610" s="757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>
      <c r="A611" s="685"/>
      <c r="B611" s="699" t="s">
        <v>261</v>
      </c>
      <c r="C611" s="687"/>
      <c r="D611" s="687"/>
      <c r="E611" s="666"/>
      <c r="F611" s="666"/>
      <c r="G611" s="667"/>
      <c r="H611" s="700" t="s">
        <v>46</v>
      </c>
      <c r="I611" s="701">
        <v>0</v>
      </c>
      <c r="J611" s="701">
        <f>J614+J616</f>
        <v>0</v>
      </c>
      <c r="K611" s="670">
        <f t="shared" ref="K611:K613" si="258">IF(I611&gt;0,J611*100/I611,0)</f>
        <v>0</v>
      </c>
      <c r="L611" s="671"/>
      <c r="M611" s="671"/>
      <c r="N611" s="671"/>
      <c r="O611" s="671"/>
      <c r="P611" s="671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2"/>
      <c r="B612" s="712"/>
      <c r="C612" s="704" t="s">
        <v>262</v>
      </c>
      <c r="D612" s="712"/>
      <c r="E612" s="712"/>
      <c r="F612" s="705"/>
      <c r="G612" s="706"/>
      <c r="H612" s="707" t="s">
        <v>46</v>
      </c>
      <c r="I612" s="709">
        <v>0</v>
      </c>
      <c r="J612" s="709">
        <f t="shared" ref="J612:J613" si="259">J614+J616</f>
        <v>0</v>
      </c>
      <c r="K612" s="710">
        <f t="shared" si="258"/>
        <v>0</v>
      </c>
      <c r="L612" s="711"/>
      <c r="M612" s="711"/>
      <c r="N612" s="711"/>
      <c r="O612" s="711"/>
      <c r="P612" s="711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2"/>
      <c r="B613" s="712"/>
      <c r="C613" s="712" t="s">
        <v>263</v>
      </c>
      <c r="D613" s="712"/>
      <c r="E613" s="712"/>
      <c r="F613" s="705"/>
      <c r="G613" s="706"/>
      <c r="H613" s="707" t="s">
        <v>34</v>
      </c>
      <c r="I613" s="709">
        <v>0</v>
      </c>
      <c r="J613" s="709">
        <f t="shared" si="259"/>
        <v>0</v>
      </c>
      <c r="K613" s="710">
        <f t="shared" si="258"/>
        <v>0</v>
      </c>
      <c r="L613" s="711"/>
      <c r="M613" s="711"/>
      <c r="N613" s="711"/>
      <c r="O613" s="711"/>
      <c r="P613" s="711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3" t="s">
        <v>264</v>
      </c>
      <c r="E614" s="610"/>
      <c r="F614" s="713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3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4" t="s">
        <v>264</v>
      </c>
      <c r="E616" s="713"/>
      <c r="F616" s="713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3"/>
      <c r="F617" s="713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4" t="s">
        <v>265</v>
      </c>
      <c r="E618" s="713"/>
      <c r="F618" s="713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3"/>
      <c r="F619" s="713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>
      <c r="A620" s="715"/>
      <c r="B620" s="724"/>
      <c r="C620" s="717" t="s">
        <v>266</v>
      </c>
      <c r="D620" s="724"/>
      <c r="E620" s="724"/>
      <c r="F620" s="718"/>
      <c r="G620" s="719"/>
      <c r="H620" s="720" t="s">
        <v>46</v>
      </c>
      <c r="I620" s="721">
        <f ca="1">IFERROR(__xludf.DUMMYFUNCTION("IMPORTRANGE(""https://docs.google.com/spreadsheets/d/1QqKyyYR6Q21VydFLVH3TRQUabQu_ym0Zz7PgGX0-kHA/edit?usp=sharing"",""แผน!HL49"")"),0)</f>
        <v>0</v>
      </c>
      <c r="J620" s="721">
        <f t="shared" ref="J620:J621" si="260">J622+J624+J626</f>
        <v>0</v>
      </c>
      <c r="K620" s="722">
        <f t="shared" ref="K620:K621" ca="1" si="261">IF(I620&gt;0,J620*100/I620,0)</f>
        <v>0</v>
      </c>
      <c r="L620" s="723"/>
      <c r="M620" s="723"/>
      <c r="N620" s="723"/>
      <c r="O620" s="723"/>
      <c r="P620" s="723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>
      <c r="A621" s="715"/>
      <c r="B621" s="724"/>
      <c r="C621" s="724" t="s">
        <v>267</v>
      </c>
      <c r="D621" s="724"/>
      <c r="E621" s="724"/>
      <c r="F621" s="718"/>
      <c r="G621" s="719"/>
      <c r="H621" s="720" t="s">
        <v>34</v>
      </c>
      <c r="I621" s="721">
        <f ca="1">IFERROR(__xludf.DUMMYFUNCTION("IMPORTRANGE(""https://docs.google.com/spreadsheets/d/1QqKyyYR6Q21VydFLVH3TRQUabQu_ym0Zz7PgGX0-kHA/edit?usp=sharing"",""แผน!HK49"")"),0)</f>
        <v>0</v>
      </c>
      <c r="J621" s="721">
        <f t="shared" si="260"/>
        <v>0</v>
      </c>
      <c r="K621" s="722">
        <f t="shared" ca="1" si="261"/>
        <v>0</v>
      </c>
      <c r="L621" s="723"/>
      <c r="M621" s="723"/>
      <c r="N621" s="723"/>
      <c r="O621" s="723"/>
      <c r="P621" s="723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>
      <c r="A622" s="602"/>
      <c r="B622" s="612"/>
      <c r="C622" s="612"/>
      <c r="D622" s="739" t="s">
        <v>268</v>
      </c>
      <c r="E622" s="620"/>
      <c r="F622" s="620"/>
      <c r="G622" s="755"/>
      <c r="H622" s="757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>
      <c r="A623" s="602"/>
      <c r="B623" s="612"/>
      <c r="C623" s="612"/>
      <c r="D623" s="612"/>
      <c r="E623" s="620"/>
      <c r="F623" s="620"/>
      <c r="G623" s="755"/>
      <c r="H623" s="757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>
      <c r="A624" s="602"/>
      <c r="B624" s="612"/>
      <c r="C624" s="612"/>
      <c r="D624" s="739" t="s">
        <v>264</v>
      </c>
      <c r="E624" s="620"/>
      <c r="F624" s="620"/>
      <c r="G624" s="755"/>
      <c r="H624" s="757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>
      <c r="A625" s="602"/>
      <c r="B625" s="612"/>
      <c r="C625" s="612"/>
      <c r="D625" s="612"/>
      <c r="E625" s="620"/>
      <c r="F625" s="620"/>
      <c r="G625" s="755"/>
      <c r="H625" s="757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>
      <c r="A626" s="602"/>
      <c r="B626" s="612"/>
      <c r="C626" s="612"/>
      <c r="D626" s="739" t="s">
        <v>269</v>
      </c>
      <c r="E626" s="620"/>
      <c r="F626" s="620"/>
      <c r="G626" s="755"/>
      <c r="H626" s="757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>
      <c r="A627" s="725"/>
      <c r="B627" s="726"/>
      <c r="C627" s="726"/>
      <c r="D627" s="726"/>
      <c r="E627" s="727"/>
      <c r="F627" s="727"/>
      <c r="G627" s="728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29">
        <v>7</v>
      </c>
      <c r="B628" s="730" t="s">
        <v>270</v>
      </c>
      <c r="C628" s="731"/>
      <c r="D628" s="731"/>
      <c r="E628" s="731"/>
      <c r="F628" s="731"/>
      <c r="G628" s="732"/>
      <c r="H628" s="733" t="s">
        <v>35</v>
      </c>
      <c r="I628" s="734">
        <f t="shared" ref="I628:J628" ca="1" si="262">I651</f>
        <v>90</v>
      </c>
      <c r="J628" s="734">
        <f t="shared" ca="1" si="262"/>
        <v>0</v>
      </c>
      <c r="K628" s="735">
        <f ca="1">IF(I628&gt;0,J628*100/I628,0)</f>
        <v>0</v>
      </c>
      <c r="L628" s="736"/>
      <c r="M628" s="736"/>
      <c r="N628" s="736"/>
      <c r="O628" s="736"/>
      <c r="P628" s="736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6"/>
      <c r="C629" s="756" t="s">
        <v>16</v>
      </c>
      <c r="D629" s="1532" t="s">
        <v>17</v>
      </c>
      <c r="E629" s="1533"/>
      <c r="F629" s="1533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si="263"/>
        <v>0</v>
      </c>
      <c r="N629" s="195">
        <f t="shared" si="263"/>
        <v>67000</v>
      </c>
      <c r="O629" s="195">
        <f t="shared" ref="O629:O634" ca="1" si="264">IF(L629&gt;0,N629*100/L629,0)</f>
        <v>19.171065997110034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2"/>
      <c r="C630" s="752"/>
      <c r="D630" s="713"/>
      <c r="E630" s="752" t="s">
        <v>184</v>
      </c>
      <c r="F630" s="752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2"/>
      <c r="D631" s="713"/>
      <c r="E631" s="752" t="s">
        <v>185</v>
      </c>
      <c r="F631" s="752"/>
      <c r="G631" s="597"/>
      <c r="H631" s="165" t="s">
        <v>12</v>
      </c>
      <c r="I631" s="611"/>
      <c r="J631" s="611"/>
      <c r="K631" s="93"/>
      <c r="L631" s="93">
        <f t="shared" ca="1" si="266"/>
        <v>349485</v>
      </c>
      <c r="M631" s="93">
        <f t="shared" si="266"/>
        <v>0</v>
      </c>
      <c r="N631" s="93">
        <f t="shared" si="266"/>
        <v>67000</v>
      </c>
      <c r="O631" s="93">
        <f t="shared" ca="1" si="264"/>
        <v>19.171065997110034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6"/>
      <c r="D632" s="600" t="s">
        <v>20</v>
      </c>
      <c r="E632" s="756"/>
      <c r="F632" s="756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si="267"/>
        <v>0</v>
      </c>
      <c r="N632" s="497">
        <f t="shared" si="267"/>
        <v>67000</v>
      </c>
      <c r="O632" s="497">
        <f t="shared" ca="1" si="264"/>
        <v>19.171065997110034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2"/>
      <c r="D633" s="713"/>
      <c r="E633" s="752" t="s">
        <v>184</v>
      </c>
      <c r="F633" s="752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2"/>
      <c r="D634" s="713"/>
      <c r="E634" s="752" t="s">
        <v>185</v>
      </c>
      <c r="F634" s="752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v>0</v>
      </c>
      <c r="N634" s="93">
        <f>N635+N636+N637+N638</f>
        <v>67000</v>
      </c>
      <c r="O634" s="93">
        <f t="shared" ca="1" si="264"/>
        <v>19.171065997110034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6"/>
      <c r="D635" s="756"/>
      <c r="E635" s="756"/>
      <c r="F635" s="756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833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6"/>
      <c r="D636" s="756"/>
      <c r="E636" s="756"/>
      <c r="F636" s="756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833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6"/>
      <c r="D637" s="756"/>
      <c r="E637" s="756"/>
      <c r="F637" s="756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833">
        <v>52000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6"/>
      <c r="D638" s="756"/>
      <c r="E638" s="756"/>
      <c r="F638" s="756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833">
        <v>15000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6"/>
      <c r="D639" s="600" t="s">
        <v>21</v>
      </c>
      <c r="E639" s="756"/>
      <c r="F639" s="756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2"/>
      <c r="D640" s="752"/>
      <c r="E640" s="752" t="s">
        <v>18</v>
      </c>
      <c r="F640" s="752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2"/>
      <c r="D641" s="752"/>
      <c r="E641" s="752" t="s">
        <v>19</v>
      </c>
      <c r="F641" s="752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6" t="s">
        <v>16</v>
      </c>
      <c r="D642" s="1516" t="s">
        <v>38</v>
      </c>
      <c r="E642" s="754"/>
      <c r="F642" s="754"/>
      <c r="G642" s="607"/>
      <c r="H642" s="755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7"/>
      <c r="B643" s="569"/>
      <c r="C643" s="756"/>
      <c r="D643" s="620"/>
      <c r="E643" s="739" t="s">
        <v>271</v>
      </c>
      <c r="F643" s="620"/>
      <c r="G643" s="755"/>
      <c r="H643" s="757" t="s">
        <v>272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7"/>
      <c r="B644" s="569"/>
      <c r="C644" s="756"/>
      <c r="D644" s="620"/>
      <c r="E644" s="739" t="s">
        <v>273</v>
      </c>
      <c r="F644" s="620"/>
      <c r="G644" s="755"/>
      <c r="H644" s="757" t="s">
        <v>274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7"/>
      <c r="B645" s="569"/>
      <c r="C645" s="756"/>
      <c r="D645" s="620"/>
      <c r="E645" s="739" t="s">
        <v>275</v>
      </c>
      <c r="F645" s="620"/>
      <c r="G645" s="755"/>
      <c r="H645" s="757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IFERROR(__xludf.DUMMYFUNCTION("IMPORTRANGE(""https://docs.google.com/spreadsheets/d/1XWAQStnk-4SwqDmLtmXYiTMKHgktTP8We1SCoS47DrQ/edit?usp=sharing"",""จัดที่ดิน!AS49"")"),32)</f>
        <v>32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7"/>
      <c r="B646" s="569"/>
      <c r="C646" s="756"/>
      <c r="D646" s="620"/>
      <c r="E646" s="620"/>
      <c r="F646" s="620"/>
      <c r="G646" s="755"/>
      <c r="H646" s="757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IFERROR(__xludf.DUMMYFUNCTION("IMPORTRANGE(""https://docs.google.com/spreadsheets/d/1XWAQStnk-4SwqDmLtmXYiTMKHgktTP8We1SCoS47DrQ/edit?usp=sharing"",""จัดที่ดิน!AT49"")"),8.82)</f>
        <v>8.82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7"/>
      <c r="B647" s="569"/>
      <c r="C647" s="756"/>
      <c r="D647" s="620"/>
      <c r="E647" s="739" t="s">
        <v>162</v>
      </c>
      <c r="F647" s="620"/>
      <c r="G647" s="755"/>
      <c r="H647" s="757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IFERROR(__xludf.DUMMYFUNCTION("IMPORTRANGE(""https://docs.google.com/spreadsheets/d/1XWAQStnk-4SwqDmLtmXYiTMKHgktTP8We1SCoS47DrQ/edit?usp=sharing"",""จัดที่ดิน!AU49"")"),4)</f>
        <v>4</v>
      </c>
      <c r="K647" s="163">
        <f t="shared" ca="1" si="271"/>
        <v>4.4444444444444446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7"/>
      <c r="B648" s="569"/>
      <c r="C648" s="756"/>
      <c r="D648" s="620"/>
      <c r="E648" s="620"/>
      <c r="F648" s="620"/>
      <c r="G648" s="755"/>
      <c r="H648" s="757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IFERROR(__xludf.DUMMYFUNCTION("IMPORTRANGE(""https://docs.google.com/spreadsheets/d/1XWAQStnk-4SwqDmLtmXYiTMKHgktTP8We1SCoS47DrQ/edit?usp=sharing"",""จัดที่ดิน!AV49"")"),1.45)</f>
        <v>1.45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7"/>
      <c r="B649" s="569"/>
      <c r="C649" s="756"/>
      <c r="D649" s="620"/>
      <c r="E649" s="739" t="s">
        <v>276</v>
      </c>
      <c r="F649" s="620"/>
      <c r="G649" s="755"/>
      <c r="H649" s="757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7"/>
      <c r="B650" s="569"/>
      <c r="C650" s="756"/>
      <c r="D650" s="620"/>
      <c r="E650" s="620"/>
      <c r="F650" s="620"/>
      <c r="G650" s="755"/>
      <c r="H650" s="757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7"/>
      <c r="B651" s="569"/>
      <c r="C651" s="756"/>
      <c r="D651" s="620"/>
      <c r="E651" s="739" t="s">
        <v>277</v>
      </c>
      <c r="F651" s="620"/>
      <c r="G651" s="755"/>
      <c r="H651" s="757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0"/>
      <c r="B652" s="741"/>
      <c r="C652" s="742"/>
      <c r="D652" s="727"/>
      <c r="E652" s="727"/>
      <c r="F652" s="727"/>
      <c r="G652" s="728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IFERROR(__xludf.DUMMYFUNCTION("IMPORTRANGE(""https://docs.google.com/spreadsheets/d/1XWAQStnk-4SwqDmLtmXYiTMKHgktTP8We1SCoS47DrQ/edit?usp=sharing"",""จัดที่ดิน!AZ49"")"),0)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3">
        <v>8</v>
      </c>
      <c r="B653" s="730" t="s">
        <v>278</v>
      </c>
      <c r="C653" s="731"/>
      <c r="D653" s="731"/>
      <c r="E653" s="731"/>
      <c r="F653" s="731"/>
      <c r="G653" s="732"/>
      <c r="H653" s="732"/>
      <c r="I653" s="744"/>
      <c r="J653" s="744"/>
      <c r="K653" s="736"/>
      <c r="L653" s="736"/>
      <c r="M653" s="736"/>
      <c r="N653" s="736"/>
      <c r="O653" s="736"/>
      <c r="P653" s="736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6"/>
      <c r="B654" s="665" t="s">
        <v>279</v>
      </c>
      <c r="C654" s="666"/>
      <c r="D654" s="666"/>
      <c r="E654" s="666"/>
      <c r="F654" s="666"/>
      <c r="G654" s="667"/>
      <c r="H654" s="700" t="s">
        <v>46</v>
      </c>
      <c r="I654" s="701">
        <f t="shared" ref="I654:J654" ca="1" si="272">I669</f>
        <v>50</v>
      </c>
      <c r="J654" s="701">
        <f t="shared" si="272"/>
        <v>0</v>
      </c>
      <c r="K654" s="670">
        <f ca="1">IF(I654&gt;0,J654*100/I654,0)</f>
        <v>0</v>
      </c>
      <c r="L654" s="671"/>
      <c r="M654" s="671"/>
      <c r="N654" s="671"/>
      <c r="O654" s="671"/>
      <c r="P654" s="671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6"/>
      <c r="C655" s="756" t="s">
        <v>16</v>
      </c>
      <c r="D655" s="1532" t="s">
        <v>17</v>
      </c>
      <c r="E655" s="1533"/>
      <c r="F655" s="1533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2"/>
      <c r="C656" s="752"/>
      <c r="D656" s="713"/>
      <c r="E656" s="752" t="s">
        <v>184</v>
      </c>
      <c r="F656" s="752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2"/>
      <c r="D657" s="713"/>
      <c r="E657" s="752" t="s">
        <v>185</v>
      </c>
      <c r="F657" s="752"/>
      <c r="G657" s="597"/>
      <c r="H657" s="165" t="s">
        <v>12</v>
      </c>
      <c r="I657" s="611"/>
      <c r="J657" s="611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6"/>
      <c r="D658" s="600" t="s">
        <v>20</v>
      </c>
      <c r="E658" s="756"/>
      <c r="F658" s="756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2"/>
      <c r="D659" s="713"/>
      <c r="E659" s="752" t="s">
        <v>184</v>
      </c>
      <c r="F659" s="752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2"/>
      <c r="D660" s="713"/>
      <c r="E660" s="752" t="s">
        <v>185</v>
      </c>
      <c r="F660" s="752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6"/>
      <c r="D661" s="756"/>
      <c r="E661" s="756"/>
      <c r="F661" s="756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833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6"/>
      <c r="D662" s="756"/>
      <c r="E662" s="756"/>
      <c r="F662" s="756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833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6"/>
      <c r="E663" s="756"/>
      <c r="F663" s="756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833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6"/>
      <c r="F664" s="756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833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6"/>
      <c r="F665" s="756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2" t="s">
        <v>18</v>
      </c>
      <c r="F666" s="752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2" t="s">
        <v>19</v>
      </c>
      <c r="F667" s="752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1513" t="s">
        <v>38</v>
      </c>
      <c r="E668" s="754"/>
      <c r="F668" s="754"/>
      <c r="G668" s="607"/>
      <c r="H668" s="755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5"/>
      <c r="H669" s="760" t="s">
        <v>46</v>
      </c>
      <c r="I669" s="674">
        <f ca="1">IFERROR(__xludf.DUMMYFUNCTION("IMPORTRANGE(""https://docs.google.com/spreadsheets/d/1QqKyyYR6Q21VydFLVH3TRQUabQu_ym0Zz7PgGX0-kHA/edit?usp=sharing"",""แผน!IA49"")"),50)</f>
        <v>50</v>
      </c>
      <c r="J669" s="674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5"/>
      <c r="H670" s="757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5"/>
      <c r="H671" s="757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5"/>
      <c r="H672" s="757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5"/>
      <c r="H673" s="757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5"/>
      <c r="H674" s="757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5"/>
      <c r="H675" s="757" t="s">
        <v>46</v>
      </c>
      <c r="I675" s="270"/>
      <c r="J675" s="674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5"/>
      <c r="H676" s="757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5"/>
      <c r="H677" s="757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5"/>
      <c r="H678" s="757" t="s">
        <v>46</v>
      </c>
      <c r="I678" s="674">
        <f ca="1">IFERROR(__xludf.DUMMYFUNCTION("IMPORTRANGE(""https://docs.google.com/spreadsheets/d/1QqKyyYR6Q21VydFLVH3TRQUabQu_ym0Zz7PgGX0-kHA/edit?usp=sharing"",""แผน!IB49"")"),0)</f>
        <v>0</v>
      </c>
      <c r="J678" s="674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5"/>
      <c r="H679" s="757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5"/>
      <c r="H680" s="757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5"/>
      <c r="H681" s="757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5"/>
      <c r="H682" s="757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5"/>
      <c r="H683" s="757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6"/>
      <c r="B684" s="747" t="s">
        <v>293</v>
      </c>
      <c r="C684" s="746"/>
      <c r="D684" s="746"/>
      <c r="E684" s="746"/>
      <c r="F684" s="746"/>
      <c r="G684" s="748"/>
      <c r="H684" s="748"/>
      <c r="I684" s="749"/>
      <c r="J684" s="749"/>
      <c r="K684" s="750"/>
      <c r="L684" s="750"/>
      <c r="M684" s="750"/>
      <c r="N684" s="750"/>
      <c r="O684" s="750"/>
      <c r="P684" s="750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6"/>
      <c r="C685" s="756" t="s">
        <v>16</v>
      </c>
      <c r="D685" s="1532" t="s">
        <v>17</v>
      </c>
      <c r="E685" s="1533"/>
      <c r="F685" s="1533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2"/>
      <c r="C686" s="752"/>
      <c r="D686" s="713"/>
      <c r="E686" s="752" t="s">
        <v>184</v>
      </c>
      <c r="F686" s="752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2"/>
      <c r="D687" s="713"/>
      <c r="E687" s="752" t="s">
        <v>185</v>
      </c>
      <c r="F687" s="752"/>
      <c r="G687" s="597"/>
      <c r="H687" s="165" t="s">
        <v>12</v>
      </c>
      <c r="I687" s="611"/>
      <c r="J687" s="611"/>
      <c r="K687" s="93"/>
      <c r="L687" s="93">
        <f t="shared" ca="1" si="285"/>
        <v>2940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6"/>
      <c r="D688" s="600" t="s">
        <v>20</v>
      </c>
      <c r="E688" s="756"/>
      <c r="F688" s="756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2"/>
      <c r="D689" s="713"/>
      <c r="E689" s="752" t="s">
        <v>184</v>
      </c>
      <c r="F689" s="752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2"/>
      <c r="D690" s="713"/>
      <c r="E690" s="752" t="s">
        <v>185</v>
      </c>
      <c r="F690" s="752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6"/>
      <c r="D691" s="756"/>
      <c r="E691" s="756"/>
      <c r="F691" s="756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833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6"/>
      <c r="D692" s="756"/>
      <c r="E692" s="756"/>
      <c r="F692" s="756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833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6"/>
      <c r="D693" s="756"/>
      <c r="E693" s="756"/>
      <c r="F693" s="756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833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6"/>
      <c r="D694" s="756"/>
      <c r="E694" s="756"/>
      <c r="F694" s="756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833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6"/>
      <c r="D695" s="600" t="s">
        <v>21</v>
      </c>
      <c r="E695" s="756"/>
      <c r="F695" s="756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2"/>
      <c r="D696" s="752"/>
      <c r="E696" s="752" t="s">
        <v>18</v>
      </c>
      <c r="F696" s="752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2"/>
      <c r="D697" s="752"/>
      <c r="E697" s="752" t="s">
        <v>19</v>
      </c>
      <c r="F697" s="752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6" t="s">
        <v>16</v>
      </c>
      <c r="D698" s="1518" t="s">
        <v>38</v>
      </c>
      <c r="E698" s="754"/>
      <c r="F698" s="754"/>
      <c r="G698" s="607"/>
      <c r="H698" s="755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7"/>
      <c r="B699" s="756"/>
      <c r="C699" s="756"/>
      <c r="D699" s="756" t="s">
        <v>294</v>
      </c>
      <c r="E699" s="756"/>
      <c r="F699" s="756"/>
      <c r="G699" s="189"/>
      <c r="H699" s="757" t="s">
        <v>46</v>
      </c>
      <c r="I699" s="758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59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7"/>
      <c r="B700" s="756"/>
      <c r="C700" s="756"/>
      <c r="D700" s="756" t="s">
        <v>295</v>
      </c>
      <c r="E700" s="756"/>
      <c r="F700" s="756"/>
      <c r="G700" s="189"/>
      <c r="H700" s="757" t="s">
        <v>35</v>
      </c>
      <c r="I700" s="758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59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7"/>
      <c r="B701" s="756"/>
      <c r="C701" s="756"/>
      <c r="D701" s="756" t="s">
        <v>296</v>
      </c>
      <c r="E701" s="756"/>
      <c r="F701" s="756"/>
      <c r="G701" s="189"/>
      <c r="H701" s="760" t="s">
        <v>46</v>
      </c>
      <c r="I701" s="761">
        <f ca="1">IFERROR(__xludf.DUMMYFUNCTION("IMPORTRANGE(""https://docs.google.com/spreadsheets/d/1QqKyyYR6Q21VydFLVH3TRQUabQu_ym0Zz7PgGX0-kHA/edit?usp=sharing"",""แผน!IE49"")"),0)</f>
        <v>0</v>
      </c>
      <c r="J701" s="674">
        <f>J704+J707</f>
        <v>0</v>
      </c>
      <c r="K701" s="195">
        <f t="shared" ca="1" si="290"/>
        <v>0</v>
      </c>
      <c r="L701" s="497"/>
      <c r="M701" s="189"/>
      <c r="N701" s="759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7"/>
      <c r="B702" s="756"/>
      <c r="C702" s="756"/>
      <c r="D702" s="756"/>
      <c r="E702" s="756" t="s">
        <v>297</v>
      </c>
      <c r="F702" s="756"/>
      <c r="G702" s="189"/>
      <c r="H702" s="757" t="s">
        <v>35</v>
      </c>
      <c r="I702" s="758"/>
      <c r="J702" s="215">
        <v>0</v>
      </c>
      <c r="K702" s="497"/>
      <c r="L702" s="497"/>
      <c r="M702" s="189"/>
      <c r="N702" s="759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7"/>
      <c r="B703" s="756"/>
      <c r="C703" s="756"/>
      <c r="D703" s="756"/>
      <c r="E703" s="756"/>
      <c r="F703" s="756"/>
      <c r="G703" s="189"/>
      <c r="H703" s="757" t="s">
        <v>34</v>
      </c>
      <c r="I703" s="758"/>
      <c r="J703" s="215">
        <v>0</v>
      </c>
      <c r="K703" s="497"/>
      <c r="L703" s="497"/>
      <c r="M703" s="189"/>
      <c r="N703" s="759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7"/>
      <c r="B704" s="756"/>
      <c r="C704" s="756"/>
      <c r="D704" s="756"/>
      <c r="E704" s="756"/>
      <c r="F704" s="756"/>
      <c r="G704" s="189"/>
      <c r="H704" s="757" t="s">
        <v>46</v>
      </c>
      <c r="I704" s="758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59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7"/>
      <c r="B705" s="756"/>
      <c r="C705" s="756"/>
      <c r="D705" s="756"/>
      <c r="E705" s="756" t="s">
        <v>298</v>
      </c>
      <c r="F705" s="756"/>
      <c r="G705" s="189"/>
      <c r="H705" s="757" t="s">
        <v>35</v>
      </c>
      <c r="I705" s="758"/>
      <c r="J705" s="215">
        <v>0</v>
      </c>
      <c r="K705" s="497"/>
      <c r="L705" s="497"/>
      <c r="M705" s="189"/>
      <c r="N705" s="759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7"/>
      <c r="B706" s="756"/>
      <c r="C706" s="756"/>
      <c r="D706" s="756"/>
      <c r="E706" s="756"/>
      <c r="F706" s="756"/>
      <c r="G706" s="189"/>
      <c r="H706" s="757" t="s">
        <v>34</v>
      </c>
      <c r="I706" s="758"/>
      <c r="J706" s="215">
        <v>0</v>
      </c>
      <c r="K706" s="497"/>
      <c r="L706" s="497"/>
      <c r="M706" s="189"/>
      <c r="N706" s="759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7"/>
      <c r="B707" s="756"/>
      <c r="C707" s="756"/>
      <c r="D707" s="756"/>
      <c r="E707" s="756"/>
      <c r="F707" s="756"/>
      <c r="G707" s="189"/>
      <c r="H707" s="757" t="s">
        <v>46</v>
      </c>
      <c r="I707" s="758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59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7"/>
      <c r="B708" s="756"/>
      <c r="C708" s="756"/>
      <c r="D708" s="762" t="s">
        <v>299</v>
      </c>
      <c r="E708" s="756"/>
      <c r="F708" s="756"/>
      <c r="G708" s="189"/>
      <c r="H708" s="760" t="s">
        <v>46</v>
      </c>
      <c r="I708" s="761">
        <f ca="1">IFERROR(__xludf.DUMMYFUNCTION("IMPORTRANGE(""https://docs.google.com/spreadsheets/d/1QqKyyYR6Q21VydFLVH3TRQUabQu_ym0Zz7PgGX0-kHA/edit?usp=sharing"",""แผน!IH49"")"),7)</f>
        <v>7</v>
      </c>
      <c r="J708" s="674">
        <f>J714+J717</f>
        <v>0</v>
      </c>
      <c r="K708" s="195">
        <f ca="1">IF(I708&gt;0,J708*100/I708,0)</f>
        <v>0</v>
      </c>
      <c r="L708" s="497"/>
      <c r="M708" s="189"/>
      <c r="N708" s="759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7"/>
      <c r="B709" s="756"/>
      <c r="C709" s="756"/>
      <c r="D709" s="756"/>
      <c r="E709" s="756" t="s">
        <v>300</v>
      </c>
      <c r="F709" s="756"/>
      <c r="G709" s="189"/>
      <c r="H709" s="757" t="s">
        <v>34</v>
      </c>
      <c r="I709" s="758"/>
      <c r="J709" s="215">
        <v>0</v>
      </c>
      <c r="K709" s="497"/>
      <c r="L709" s="759"/>
      <c r="M709" s="189"/>
      <c r="N709" s="759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7"/>
      <c r="B710" s="756"/>
      <c r="C710" s="756"/>
      <c r="D710" s="756"/>
      <c r="E710" s="756"/>
      <c r="F710" s="756"/>
      <c r="G710" s="189"/>
      <c r="H710" s="757" t="s">
        <v>46</v>
      </c>
      <c r="I710" s="758"/>
      <c r="J710" s="215">
        <v>0</v>
      </c>
      <c r="K710" s="497"/>
      <c r="L710" s="759"/>
      <c r="M710" s="189"/>
      <c r="N710" s="759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7"/>
      <c r="B711" s="756"/>
      <c r="C711" s="756"/>
      <c r="D711" s="756"/>
      <c r="E711" s="756" t="s">
        <v>301</v>
      </c>
      <c r="F711" s="756"/>
      <c r="G711" s="189"/>
      <c r="H711" s="755"/>
      <c r="I711" s="758"/>
      <c r="J711" s="270"/>
      <c r="K711" s="497"/>
      <c r="L711" s="759"/>
      <c r="M711" s="189"/>
      <c r="N711" s="759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7"/>
      <c r="B712" s="756"/>
      <c r="C712" s="756"/>
      <c r="D712" s="756"/>
      <c r="E712" s="756"/>
      <c r="F712" s="756" t="s">
        <v>302</v>
      </c>
      <c r="G712" s="189"/>
      <c r="H712" s="757" t="s">
        <v>35</v>
      </c>
      <c r="I712" s="758"/>
      <c r="J712" s="215">
        <v>0</v>
      </c>
      <c r="K712" s="497"/>
      <c r="L712" s="759"/>
      <c r="M712" s="189"/>
      <c r="N712" s="759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7"/>
      <c r="B713" s="756"/>
      <c r="C713" s="756"/>
      <c r="D713" s="756"/>
      <c r="E713" s="756"/>
      <c r="F713" s="756"/>
      <c r="G713" s="189"/>
      <c r="H713" s="757" t="s">
        <v>34</v>
      </c>
      <c r="I713" s="758"/>
      <c r="J713" s="215">
        <v>0</v>
      </c>
      <c r="K713" s="497"/>
      <c r="L713" s="759"/>
      <c r="M713" s="189"/>
      <c r="N713" s="759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7"/>
      <c r="B714" s="756"/>
      <c r="C714" s="756"/>
      <c r="D714" s="756"/>
      <c r="E714" s="756"/>
      <c r="F714" s="756"/>
      <c r="G714" s="189"/>
      <c r="H714" s="757" t="s">
        <v>46</v>
      </c>
      <c r="I714" s="758"/>
      <c r="J714" s="215">
        <v>0</v>
      </c>
      <c r="K714" s="497"/>
      <c r="L714" s="759"/>
      <c r="M714" s="189"/>
      <c r="N714" s="759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7"/>
      <c r="B715" s="756"/>
      <c r="C715" s="756"/>
      <c r="D715" s="756"/>
      <c r="E715" s="756"/>
      <c r="F715" s="756" t="s">
        <v>303</v>
      </c>
      <c r="G715" s="189"/>
      <c r="H715" s="757" t="s">
        <v>35</v>
      </c>
      <c r="I715" s="758"/>
      <c r="J715" s="215">
        <v>0</v>
      </c>
      <c r="K715" s="497"/>
      <c r="L715" s="759"/>
      <c r="M715" s="189"/>
      <c r="N715" s="759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7"/>
      <c r="B716" s="756"/>
      <c r="C716" s="756"/>
      <c r="D716" s="756"/>
      <c r="E716" s="756"/>
      <c r="F716" s="756"/>
      <c r="G716" s="189"/>
      <c r="H716" s="757" t="s">
        <v>34</v>
      </c>
      <c r="I716" s="758"/>
      <c r="J716" s="215">
        <v>0</v>
      </c>
      <c r="K716" s="497"/>
      <c r="L716" s="759"/>
      <c r="M716" s="189"/>
      <c r="N716" s="759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7"/>
      <c r="B717" s="756"/>
      <c r="C717" s="756"/>
      <c r="D717" s="756"/>
      <c r="E717" s="756"/>
      <c r="F717" s="756"/>
      <c r="G717" s="189"/>
      <c r="H717" s="757" t="s">
        <v>46</v>
      </c>
      <c r="I717" s="758"/>
      <c r="J717" s="215">
        <v>0</v>
      </c>
      <c r="K717" s="497"/>
      <c r="L717" s="759"/>
      <c r="M717" s="189"/>
      <c r="N717" s="759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7"/>
      <c r="B718" s="756"/>
      <c r="C718" s="756"/>
      <c r="D718" s="756" t="s">
        <v>304</v>
      </c>
      <c r="E718" s="756"/>
      <c r="F718" s="756"/>
      <c r="G718" s="189"/>
      <c r="H718" s="757" t="s">
        <v>35</v>
      </c>
      <c r="I718" s="758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59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7"/>
      <c r="B719" s="756"/>
      <c r="C719" s="756"/>
      <c r="D719" s="756"/>
      <c r="E719" s="756"/>
      <c r="F719" s="756"/>
      <c r="G719" s="189"/>
      <c r="H719" s="757" t="s">
        <v>34</v>
      </c>
      <c r="I719" s="758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59"/>
      <c r="M719" s="189"/>
      <c r="N719" s="759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7"/>
      <c r="B720" s="756"/>
      <c r="C720" s="756"/>
      <c r="D720" s="756"/>
      <c r="E720" s="756"/>
      <c r="F720" s="756"/>
      <c r="G720" s="189"/>
      <c r="H720" s="757" t="s">
        <v>46</v>
      </c>
      <c r="I720" s="758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59"/>
      <c r="M720" s="189"/>
      <c r="N720" s="759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7"/>
      <c r="B721" s="756"/>
      <c r="C721" s="756"/>
      <c r="D721" s="756" t="s">
        <v>305</v>
      </c>
      <c r="E721" s="756"/>
      <c r="F721" s="756"/>
      <c r="G721" s="189"/>
      <c r="H721" s="760" t="s">
        <v>35</v>
      </c>
      <c r="I721" s="761">
        <f ca="1">IFERROR(__xludf.DUMMYFUNCTION("IMPORTRANGE(""https://docs.google.com/spreadsheets/d/1QqKyyYR6Q21VydFLVH3TRQUabQu_ym0Zz7PgGX0-kHA/edit?usp=sharing"",""แผน!IJ49"")"),0)</f>
        <v>0</v>
      </c>
      <c r="J721" s="674">
        <f ca="1">J723+J726</f>
        <v>0</v>
      </c>
      <c r="K721" s="195">
        <f t="shared" ca="1" si="291"/>
        <v>0</v>
      </c>
      <c r="L721" s="759"/>
      <c r="M721" s="189"/>
      <c r="N721" s="759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7"/>
      <c r="B722" s="756"/>
      <c r="C722" s="756"/>
      <c r="D722" s="756"/>
      <c r="E722" s="756"/>
      <c r="F722" s="756"/>
      <c r="G722" s="189"/>
      <c r="H722" s="760" t="s">
        <v>46</v>
      </c>
      <c r="I722" s="761">
        <f ca="1">IFERROR(__xludf.DUMMYFUNCTION("IMPORTRANGE(""https://docs.google.com/spreadsheets/d/1QqKyyYR6Q21VydFLVH3TRQUabQu_ym0Zz7PgGX0-kHA/edit?usp=sharing"",""แผน!IK49"")"),0)</f>
        <v>0</v>
      </c>
      <c r="J722" s="674">
        <f ca="1">J725+J728</f>
        <v>0</v>
      </c>
      <c r="K722" s="195">
        <f t="shared" ca="1" si="291"/>
        <v>0</v>
      </c>
      <c r="L722" s="497"/>
      <c r="M722" s="189"/>
      <c r="N722" s="759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7"/>
      <c r="B723" s="756"/>
      <c r="C723" s="756"/>
      <c r="D723" s="756"/>
      <c r="E723" s="756" t="s">
        <v>306</v>
      </c>
      <c r="F723" s="756"/>
      <c r="G723" s="189"/>
      <c r="H723" s="757" t="s">
        <v>35</v>
      </c>
      <c r="I723" s="758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59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7"/>
      <c r="B724" s="756"/>
      <c r="C724" s="756"/>
      <c r="D724" s="756"/>
      <c r="E724" s="756"/>
      <c r="F724" s="756"/>
      <c r="G724" s="189"/>
      <c r="H724" s="757" t="s">
        <v>34</v>
      </c>
      <c r="I724" s="758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59"/>
      <c r="M724" s="189"/>
      <c r="N724" s="759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7"/>
      <c r="B725" s="756"/>
      <c r="C725" s="756"/>
      <c r="D725" s="756"/>
      <c r="E725" s="756"/>
      <c r="F725" s="756"/>
      <c r="G725" s="189"/>
      <c r="H725" s="757" t="s">
        <v>46</v>
      </c>
      <c r="I725" s="758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59"/>
      <c r="M725" s="189"/>
      <c r="N725" s="759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7"/>
      <c r="B726" s="756"/>
      <c r="C726" s="756"/>
      <c r="D726" s="756"/>
      <c r="E726" s="756" t="s">
        <v>307</v>
      </c>
      <c r="F726" s="756"/>
      <c r="G726" s="189"/>
      <c r="H726" s="757" t="s">
        <v>35</v>
      </c>
      <c r="I726" s="758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59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7"/>
      <c r="B727" s="756"/>
      <c r="C727" s="756"/>
      <c r="D727" s="756"/>
      <c r="E727" s="756"/>
      <c r="F727" s="756"/>
      <c r="G727" s="189"/>
      <c r="H727" s="757" t="s">
        <v>34</v>
      </c>
      <c r="I727" s="758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59"/>
      <c r="M727" s="189"/>
      <c r="N727" s="759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7"/>
      <c r="B728" s="756"/>
      <c r="C728" s="756"/>
      <c r="D728" s="756"/>
      <c r="E728" s="756"/>
      <c r="F728" s="756"/>
      <c r="G728" s="189"/>
      <c r="H728" s="757" t="s">
        <v>46</v>
      </c>
      <c r="I728" s="758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59"/>
      <c r="M728" s="189"/>
      <c r="N728" s="759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7"/>
      <c r="B729" s="756"/>
      <c r="C729" s="756"/>
      <c r="D729" s="756" t="s">
        <v>308</v>
      </c>
      <c r="E729" s="756"/>
      <c r="F729" s="756"/>
      <c r="G729" s="189"/>
      <c r="H729" s="760" t="s">
        <v>46</v>
      </c>
      <c r="I729" s="761">
        <f ca="1">IFERROR(__xludf.DUMMYFUNCTION("IMPORTRANGE(""https://docs.google.com/spreadsheets/d/1QqKyyYR6Q21VydFLVH3TRQUabQu_ym0Zz7PgGX0-kHA/edit?usp=sharing"",""แผน!IP49"")"),0)</f>
        <v>0</v>
      </c>
      <c r="J729" s="674">
        <f>J732+J735</f>
        <v>0</v>
      </c>
      <c r="K729" s="195">
        <f t="shared" ca="1" si="293"/>
        <v>0</v>
      </c>
      <c r="L729" s="497"/>
      <c r="M729" s="189"/>
      <c r="N729" s="759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7"/>
      <c r="B730" s="756"/>
      <c r="C730" s="756"/>
      <c r="D730" s="756"/>
      <c r="E730" s="756" t="s">
        <v>309</v>
      </c>
      <c r="F730" s="756"/>
      <c r="G730" s="189"/>
      <c r="H730" s="757" t="s">
        <v>35</v>
      </c>
      <c r="I730" s="758"/>
      <c r="J730" s="215">
        <v>0</v>
      </c>
      <c r="K730" s="497"/>
      <c r="L730" s="759"/>
      <c r="M730" s="497"/>
      <c r="N730" s="759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7"/>
      <c r="B731" s="756"/>
      <c r="C731" s="756"/>
      <c r="D731" s="756"/>
      <c r="E731" s="756"/>
      <c r="F731" s="756"/>
      <c r="G731" s="189"/>
      <c r="H731" s="757" t="s">
        <v>34</v>
      </c>
      <c r="I731" s="758"/>
      <c r="J731" s="215">
        <v>0</v>
      </c>
      <c r="K731" s="497"/>
      <c r="L731" s="759"/>
      <c r="M731" s="497"/>
      <c r="N731" s="759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7"/>
      <c r="B732" s="756"/>
      <c r="C732" s="756"/>
      <c r="D732" s="756"/>
      <c r="E732" s="756"/>
      <c r="F732" s="756"/>
      <c r="G732" s="189"/>
      <c r="H732" s="757" t="s">
        <v>46</v>
      </c>
      <c r="I732" s="758"/>
      <c r="J732" s="215">
        <v>0</v>
      </c>
      <c r="K732" s="497"/>
      <c r="L732" s="759"/>
      <c r="M732" s="497"/>
      <c r="N732" s="759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7"/>
      <c r="B733" s="756"/>
      <c r="C733" s="756"/>
      <c r="D733" s="756"/>
      <c r="E733" s="756" t="s">
        <v>310</v>
      </c>
      <c r="F733" s="756"/>
      <c r="G733" s="189"/>
      <c r="H733" s="757" t="s">
        <v>35</v>
      </c>
      <c r="I733" s="758"/>
      <c r="J733" s="215">
        <v>0</v>
      </c>
      <c r="K733" s="497"/>
      <c r="L733" s="759"/>
      <c r="M733" s="497"/>
      <c r="N733" s="759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7"/>
      <c r="B734" s="756"/>
      <c r="C734" s="756"/>
      <c r="D734" s="756"/>
      <c r="E734" s="756"/>
      <c r="F734" s="756"/>
      <c r="G734" s="189"/>
      <c r="H734" s="757" t="s">
        <v>34</v>
      </c>
      <c r="I734" s="758"/>
      <c r="J734" s="215">
        <v>0</v>
      </c>
      <c r="K734" s="497"/>
      <c r="L734" s="759"/>
      <c r="M734" s="497"/>
      <c r="N734" s="759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3"/>
      <c r="B735" s="764" t="s">
        <v>311</v>
      </c>
      <c r="C735" s="727"/>
      <c r="D735" s="727"/>
      <c r="E735" s="727"/>
      <c r="F735" s="727"/>
      <c r="G735" s="728"/>
      <c r="H735" s="422" t="s">
        <v>46</v>
      </c>
      <c r="I735" s="765"/>
      <c r="J735" s="424">
        <v>0</v>
      </c>
      <c r="K735" s="501"/>
      <c r="L735" s="766"/>
      <c r="M735" s="501"/>
      <c r="N735" s="766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7">
        <v>9</v>
      </c>
      <c r="B736" s="768" t="s">
        <v>312</v>
      </c>
      <c r="C736" s="769"/>
      <c r="D736" s="769"/>
      <c r="E736" s="769"/>
      <c r="F736" s="769"/>
      <c r="G736" s="770"/>
      <c r="H736" s="771" t="s">
        <v>46</v>
      </c>
      <c r="I736" s="772"/>
      <c r="J736" s="772">
        <f>J751</f>
        <v>0</v>
      </c>
      <c r="K736" s="773">
        <f>IF(I736&gt;0,J736*100/I736,0)</f>
        <v>0</v>
      </c>
      <c r="L736" s="774"/>
      <c r="M736" s="774"/>
      <c r="N736" s="774"/>
      <c r="O736" s="774"/>
      <c r="P736" s="774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2"/>
      <c r="C737" s="752" t="s">
        <v>16</v>
      </c>
      <c r="D737" s="1537" t="s">
        <v>17</v>
      </c>
      <c r="E737" s="1533"/>
      <c r="F737" s="1533"/>
      <c r="G737" s="597"/>
      <c r="H737" s="639" t="s">
        <v>12</v>
      </c>
      <c r="I737" s="611"/>
      <c r="J737" s="611"/>
      <c r="K737" s="93"/>
      <c r="L737" s="640">
        <f t="shared" ref="L737:N737" si="294">L738+L739</f>
        <v>0</v>
      </c>
      <c r="M737" s="640">
        <f t="shared" si="294"/>
        <v>0</v>
      </c>
      <c r="N737" s="640">
        <f t="shared" si="294"/>
        <v>0</v>
      </c>
      <c r="O737" s="640">
        <f t="shared" ref="O737:O742" si="295">IF(L737&gt;0,N737*100/L737,0)</f>
        <v>0</v>
      </c>
      <c r="P737" s="640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2"/>
      <c r="C738" s="752"/>
      <c r="D738" s="713"/>
      <c r="E738" s="752" t="s">
        <v>184</v>
      </c>
      <c r="F738" s="752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2"/>
      <c r="D739" s="713"/>
      <c r="E739" s="752" t="s">
        <v>185</v>
      </c>
      <c r="F739" s="752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2"/>
      <c r="D740" s="1488" t="s">
        <v>20</v>
      </c>
      <c r="E740" s="752"/>
      <c r="F740" s="752"/>
      <c r="G740" s="597"/>
      <c r="H740" s="639" t="s">
        <v>12</v>
      </c>
      <c r="I740" s="166"/>
      <c r="J740" s="166"/>
      <c r="K740" s="167"/>
      <c r="L740" s="640">
        <f t="shared" ref="L740:N740" si="298">L741+L742</f>
        <v>0</v>
      </c>
      <c r="M740" s="640">
        <f t="shared" si="298"/>
        <v>0</v>
      </c>
      <c r="N740" s="640">
        <f t="shared" si="298"/>
        <v>0</v>
      </c>
      <c r="O740" s="640">
        <f t="shared" si="295"/>
        <v>0</v>
      </c>
      <c r="P740" s="640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2"/>
      <c r="D741" s="713"/>
      <c r="E741" s="752" t="s">
        <v>184</v>
      </c>
      <c r="F741" s="752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2"/>
      <c r="D742" s="713"/>
      <c r="E742" s="752" t="s">
        <v>185</v>
      </c>
      <c r="F742" s="752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2"/>
      <c r="B743" s="601"/>
      <c r="C743" s="752"/>
      <c r="D743" s="752"/>
      <c r="E743" s="752"/>
      <c r="F743" s="752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2"/>
      <c r="B744" s="601"/>
      <c r="C744" s="752"/>
      <c r="D744" s="752"/>
      <c r="E744" s="752"/>
      <c r="F744" s="752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2"/>
      <c r="B745" s="601"/>
      <c r="C745" s="752"/>
      <c r="D745" s="752"/>
      <c r="E745" s="752"/>
      <c r="F745" s="752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2"/>
      <c r="B746" s="601"/>
      <c r="C746" s="752"/>
      <c r="D746" s="752"/>
      <c r="E746" s="752"/>
      <c r="F746" s="752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2"/>
      <c r="D747" s="1488" t="s">
        <v>21</v>
      </c>
      <c r="E747" s="752"/>
      <c r="F747" s="752"/>
      <c r="G747" s="597"/>
      <c r="H747" s="776" t="s">
        <v>12</v>
      </c>
      <c r="I747" s="166"/>
      <c r="J747" s="166"/>
      <c r="K747" s="167"/>
      <c r="L747" s="640">
        <f t="shared" ref="L747:N747" si="299">L748+L749</f>
        <v>0</v>
      </c>
      <c r="M747" s="640">
        <f t="shared" si="299"/>
        <v>0</v>
      </c>
      <c r="N747" s="640">
        <f t="shared" si="299"/>
        <v>0</v>
      </c>
      <c r="O747" s="640">
        <f t="shared" ref="O747:O749" si="300">IF(L747&gt;0,N747*100/L747,0)</f>
        <v>0</v>
      </c>
      <c r="P747" s="640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2"/>
      <c r="D748" s="752"/>
      <c r="E748" s="752" t="s">
        <v>18</v>
      </c>
      <c r="F748" s="752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2"/>
      <c r="D749" s="752"/>
      <c r="E749" s="752" t="s">
        <v>19</v>
      </c>
      <c r="F749" s="752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2" t="s">
        <v>16</v>
      </c>
      <c r="D750" s="1519" t="s">
        <v>38</v>
      </c>
      <c r="E750" s="644"/>
      <c r="F750" s="644"/>
      <c r="G750" s="645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2"/>
      <c r="B751" s="601"/>
      <c r="C751" s="752"/>
      <c r="D751" s="752"/>
      <c r="E751" s="752" t="s">
        <v>313</v>
      </c>
      <c r="F751" s="752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2"/>
      <c r="B752" s="601"/>
      <c r="C752" s="752"/>
      <c r="D752" s="752"/>
      <c r="E752" s="752"/>
      <c r="F752" s="752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8">
        <v>10</v>
      </c>
      <c r="B753" s="779" t="s">
        <v>315</v>
      </c>
      <c r="C753" s="780"/>
      <c r="D753" s="780"/>
      <c r="E753" s="780"/>
      <c r="F753" s="780"/>
      <c r="G753" s="781"/>
      <c r="H753" s="782" t="s">
        <v>46</v>
      </c>
      <c r="I753" s="783"/>
      <c r="J753" s="783">
        <f>J768</f>
        <v>0</v>
      </c>
      <c r="K753" s="784">
        <f>IF(I753&gt;0,J753*100/I753,0)</f>
        <v>0</v>
      </c>
      <c r="L753" s="785"/>
      <c r="M753" s="785"/>
      <c r="N753" s="785"/>
      <c r="O753" s="785"/>
      <c r="P753" s="785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2"/>
      <c r="C754" s="752" t="s">
        <v>16</v>
      </c>
      <c r="D754" s="1537" t="s">
        <v>17</v>
      </c>
      <c r="E754" s="1533"/>
      <c r="F754" s="1533"/>
      <c r="G754" s="597"/>
      <c r="H754" s="639" t="s">
        <v>12</v>
      </c>
      <c r="I754" s="611"/>
      <c r="J754" s="611"/>
      <c r="K754" s="93"/>
      <c r="L754" s="640">
        <f t="shared" ref="L754:N754" si="302">L755+L756</f>
        <v>0</v>
      </c>
      <c r="M754" s="640">
        <f t="shared" si="302"/>
        <v>0</v>
      </c>
      <c r="N754" s="640">
        <f t="shared" si="302"/>
        <v>0</v>
      </c>
      <c r="O754" s="640">
        <f t="shared" ref="O754:O759" si="303">IF(L754&gt;0,N754*100/L754,0)</f>
        <v>0</v>
      </c>
      <c r="P754" s="640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2"/>
      <c r="C755" s="752"/>
      <c r="D755" s="713"/>
      <c r="E755" s="752" t="s">
        <v>184</v>
      </c>
      <c r="F755" s="752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2"/>
      <c r="D756" s="713"/>
      <c r="E756" s="752" t="s">
        <v>185</v>
      </c>
      <c r="F756" s="752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2"/>
      <c r="D757" s="1488" t="s">
        <v>20</v>
      </c>
      <c r="E757" s="752"/>
      <c r="F757" s="752"/>
      <c r="G757" s="597"/>
      <c r="H757" s="639" t="s">
        <v>12</v>
      </c>
      <c r="I757" s="166"/>
      <c r="J757" s="166"/>
      <c r="K757" s="167"/>
      <c r="L757" s="640">
        <f t="shared" ref="L757:N757" si="306">L758+L759</f>
        <v>0</v>
      </c>
      <c r="M757" s="640">
        <f t="shared" si="306"/>
        <v>0</v>
      </c>
      <c r="N757" s="640">
        <f t="shared" si="306"/>
        <v>0</v>
      </c>
      <c r="O757" s="640">
        <f t="shared" si="303"/>
        <v>0</v>
      </c>
      <c r="P757" s="640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2"/>
      <c r="D758" s="713"/>
      <c r="E758" s="752" t="s">
        <v>184</v>
      </c>
      <c r="F758" s="752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2"/>
      <c r="D759" s="713"/>
      <c r="E759" s="752" t="s">
        <v>185</v>
      </c>
      <c r="F759" s="752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2"/>
      <c r="B760" s="601"/>
      <c r="C760" s="752"/>
      <c r="D760" s="752"/>
      <c r="E760" s="752"/>
      <c r="F760" s="752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2"/>
      <c r="B761" s="601"/>
      <c r="C761" s="752"/>
      <c r="D761" s="752"/>
      <c r="E761" s="752"/>
      <c r="F761" s="752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2"/>
      <c r="B762" s="601"/>
      <c r="C762" s="752"/>
      <c r="D762" s="752"/>
      <c r="E762" s="752"/>
      <c r="F762" s="752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2"/>
      <c r="B763" s="601"/>
      <c r="C763" s="752"/>
      <c r="D763" s="752"/>
      <c r="E763" s="752"/>
      <c r="F763" s="752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2"/>
      <c r="D764" s="1488" t="s">
        <v>21</v>
      </c>
      <c r="E764" s="752"/>
      <c r="F764" s="752"/>
      <c r="G764" s="597"/>
      <c r="H764" s="776" t="s">
        <v>12</v>
      </c>
      <c r="I764" s="166"/>
      <c r="J764" s="166"/>
      <c r="K764" s="167"/>
      <c r="L764" s="640">
        <f t="shared" ref="L764:N764" si="307">L765+L766</f>
        <v>0</v>
      </c>
      <c r="M764" s="640">
        <f t="shared" si="307"/>
        <v>0</v>
      </c>
      <c r="N764" s="640">
        <f t="shared" si="307"/>
        <v>0</v>
      </c>
      <c r="O764" s="640">
        <f t="shared" ref="O764:O766" si="308">IF(L764&gt;0,N764*100/L764,0)</f>
        <v>0</v>
      </c>
      <c r="P764" s="640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2"/>
      <c r="D765" s="752"/>
      <c r="E765" s="752" t="s">
        <v>18</v>
      </c>
      <c r="F765" s="752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2"/>
      <c r="D766" s="752"/>
      <c r="E766" s="752" t="s">
        <v>19</v>
      </c>
      <c r="F766" s="752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2" t="s">
        <v>16</v>
      </c>
      <c r="D767" s="1519" t="s">
        <v>38</v>
      </c>
      <c r="E767" s="644"/>
      <c r="F767" s="644"/>
      <c r="G767" s="645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2"/>
      <c r="B768" s="601"/>
      <c r="C768" s="752"/>
      <c r="D768" s="752"/>
      <c r="E768" s="752" t="s">
        <v>316</v>
      </c>
      <c r="F768" s="752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6">
        <v>11</v>
      </c>
      <c r="B769" s="787" t="s">
        <v>317</v>
      </c>
      <c r="C769" s="788"/>
      <c r="D769" s="788"/>
      <c r="E769" s="788"/>
      <c r="F769" s="788"/>
      <c r="G769" s="789"/>
      <c r="H769" s="790" t="s">
        <v>46</v>
      </c>
      <c r="I769" s="791"/>
      <c r="J769" s="791">
        <f>J784</f>
        <v>0</v>
      </c>
      <c r="K769" s="792">
        <f>IF(I769&gt;0,J769*100/I769,0)</f>
        <v>0</v>
      </c>
      <c r="L769" s="793"/>
      <c r="M769" s="793"/>
      <c r="N769" s="793"/>
      <c r="O769" s="793"/>
      <c r="P769" s="793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2"/>
      <c r="C770" s="752" t="s">
        <v>16</v>
      </c>
      <c r="D770" s="1537" t="s">
        <v>17</v>
      </c>
      <c r="E770" s="1533"/>
      <c r="F770" s="1533"/>
      <c r="G770" s="597"/>
      <c r="H770" s="639" t="s">
        <v>12</v>
      </c>
      <c r="I770" s="611"/>
      <c r="J770" s="611"/>
      <c r="K770" s="93"/>
      <c r="L770" s="640">
        <f t="shared" ref="L770:N770" si="310">L771+L772</f>
        <v>0</v>
      </c>
      <c r="M770" s="640">
        <f t="shared" si="310"/>
        <v>0</v>
      </c>
      <c r="N770" s="640">
        <f t="shared" si="310"/>
        <v>0</v>
      </c>
      <c r="O770" s="640">
        <f t="shared" ref="O770:O775" si="311">IF(L770&gt;0,N770*100/L770,0)</f>
        <v>0</v>
      </c>
      <c r="P770" s="640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2"/>
      <c r="C771" s="752"/>
      <c r="D771" s="713"/>
      <c r="E771" s="752" t="s">
        <v>184</v>
      </c>
      <c r="F771" s="752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2"/>
      <c r="D772" s="713"/>
      <c r="E772" s="752" t="s">
        <v>185</v>
      </c>
      <c r="F772" s="752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2"/>
      <c r="D773" s="1488" t="s">
        <v>20</v>
      </c>
      <c r="E773" s="752"/>
      <c r="F773" s="752"/>
      <c r="G773" s="597"/>
      <c r="H773" s="639" t="s">
        <v>12</v>
      </c>
      <c r="I773" s="166"/>
      <c r="J773" s="166"/>
      <c r="K773" s="167"/>
      <c r="L773" s="640">
        <f t="shared" ref="L773:N773" si="314">L774+L775</f>
        <v>0</v>
      </c>
      <c r="M773" s="640">
        <f t="shared" si="314"/>
        <v>0</v>
      </c>
      <c r="N773" s="640">
        <f t="shared" si="314"/>
        <v>0</v>
      </c>
      <c r="O773" s="640">
        <f t="shared" si="311"/>
        <v>0</v>
      </c>
      <c r="P773" s="640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2"/>
      <c r="D774" s="713"/>
      <c r="E774" s="752" t="s">
        <v>184</v>
      </c>
      <c r="F774" s="752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2"/>
      <c r="D775" s="713"/>
      <c r="E775" s="752" t="s">
        <v>185</v>
      </c>
      <c r="F775" s="752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2"/>
      <c r="B776" s="601"/>
      <c r="C776" s="752"/>
      <c r="D776" s="752"/>
      <c r="E776" s="752"/>
      <c r="F776" s="752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2"/>
      <c r="B777" s="601"/>
      <c r="C777" s="752"/>
      <c r="D777" s="752"/>
      <c r="E777" s="752"/>
      <c r="F777" s="752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2"/>
      <c r="B778" s="601"/>
      <c r="C778" s="752"/>
      <c r="D778" s="752"/>
      <c r="E778" s="752"/>
      <c r="F778" s="752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2"/>
      <c r="B779" s="601"/>
      <c r="C779" s="752"/>
      <c r="D779" s="752"/>
      <c r="E779" s="752"/>
      <c r="F779" s="752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2"/>
      <c r="D780" s="1488" t="s">
        <v>21</v>
      </c>
      <c r="E780" s="752"/>
      <c r="F780" s="752"/>
      <c r="G780" s="597"/>
      <c r="H780" s="776" t="s">
        <v>12</v>
      </c>
      <c r="I780" s="166"/>
      <c r="J780" s="166"/>
      <c r="K780" s="167"/>
      <c r="L780" s="640">
        <f t="shared" ref="L780:N780" si="315">L781+L782</f>
        <v>0</v>
      </c>
      <c r="M780" s="640">
        <f t="shared" si="315"/>
        <v>0</v>
      </c>
      <c r="N780" s="640">
        <f t="shared" si="315"/>
        <v>0</v>
      </c>
      <c r="O780" s="640">
        <f t="shared" ref="O780:O782" si="316">IF(L780&gt;0,N780*100/L780,0)</f>
        <v>0</v>
      </c>
      <c r="P780" s="640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2"/>
      <c r="D781" s="752"/>
      <c r="E781" s="752" t="s">
        <v>18</v>
      </c>
      <c r="F781" s="752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2"/>
      <c r="D782" s="752"/>
      <c r="E782" s="752" t="s">
        <v>19</v>
      </c>
      <c r="F782" s="752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2" t="s">
        <v>16</v>
      </c>
      <c r="D783" s="1519" t="s">
        <v>38</v>
      </c>
      <c r="E783" s="644"/>
      <c r="F783" s="644"/>
      <c r="G783" s="645"/>
      <c r="H783" s="794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2"/>
      <c r="B784" s="601"/>
      <c r="C784" s="752"/>
      <c r="D784" s="752"/>
      <c r="E784" s="752" t="s">
        <v>318</v>
      </c>
      <c r="F784" s="752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5">
        <v>12</v>
      </c>
      <c r="B785" s="796" t="s">
        <v>319</v>
      </c>
      <c r="C785" s="797"/>
      <c r="D785" s="797"/>
      <c r="E785" s="797"/>
      <c r="F785" s="797"/>
      <c r="G785" s="798"/>
      <c r="H785" s="1443" t="s">
        <v>46</v>
      </c>
      <c r="I785" s="1520">
        <f t="shared" ref="I785:J785" ca="1" si="318">I800</f>
        <v>0</v>
      </c>
      <c r="J785" s="1521">
        <f t="shared" ca="1" si="318"/>
        <v>0</v>
      </c>
      <c r="K785" s="1522">
        <f ca="1">IF(I785&gt;0,J785*100/I785,0)</f>
        <v>0</v>
      </c>
      <c r="L785" s="802"/>
      <c r="M785" s="802"/>
      <c r="N785" s="802"/>
      <c r="O785" s="802"/>
      <c r="P785" s="802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6" t="s">
        <v>16</v>
      </c>
      <c r="D786" s="1532" t="s">
        <v>17</v>
      </c>
      <c r="E786" s="1533"/>
      <c r="F786" s="1533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2"/>
      <c r="D787" s="713"/>
      <c r="E787" s="752" t="s">
        <v>184</v>
      </c>
      <c r="F787" s="752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2" t="s">
        <v>185</v>
      </c>
      <c r="F788" s="752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6"/>
      <c r="F789" s="756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2" t="s">
        <v>184</v>
      </c>
      <c r="F790" s="752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2" t="s">
        <v>185</v>
      </c>
      <c r="F791" s="752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6"/>
      <c r="D792" s="756"/>
      <c r="E792" s="756"/>
      <c r="F792" s="756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833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6"/>
      <c r="D793" s="756"/>
      <c r="E793" s="756"/>
      <c r="F793" s="756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833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6"/>
      <c r="D794" s="756"/>
      <c r="E794" s="756"/>
      <c r="F794" s="756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833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6"/>
      <c r="D795" s="756"/>
      <c r="E795" s="756"/>
      <c r="F795" s="756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833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6"/>
      <c r="D796" s="600" t="s">
        <v>21</v>
      </c>
      <c r="E796" s="756"/>
      <c r="F796" s="756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2"/>
      <c r="D797" s="752"/>
      <c r="E797" s="752" t="s">
        <v>18</v>
      </c>
      <c r="F797" s="752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2"/>
      <c r="D798" s="752"/>
      <c r="E798" s="752" t="s">
        <v>19</v>
      </c>
      <c r="F798" s="752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6" t="s">
        <v>16</v>
      </c>
      <c r="D799" s="1518" t="s">
        <v>38</v>
      </c>
      <c r="E799" s="754"/>
      <c r="F799" s="754"/>
      <c r="G799" s="607"/>
      <c r="H799" s="1523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5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5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3"/>
      <c r="F802" s="713" t="s">
        <v>321</v>
      </c>
      <c r="G802" s="366"/>
      <c r="H802" s="646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3"/>
      <c r="F803" s="713"/>
      <c r="G803" s="366"/>
      <c r="H803" s="646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6">
        <v>13</v>
      </c>
      <c r="B804" s="787" t="s">
        <v>322</v>
      </c>
      <c r="C804" s="788"/>
      <c r="D804" s="818"/>
      <c r="E804" s="788"/>
      <c r="F804" s="788"/>
      <c r="G804" s="789"/>
      <c r="H804" s="790" t="s">
        <v>46</v>
      </c>
      <c r="I804" s="791"/>
      <c r="J804" s="791">
        <f>J819</f>
        <v>0</v>
      </c>
      <c r="K804" s="792">
        <f>IF(I804&gt;0,J804*100/I804,0)</f>
        <v>0</v>
      </c>
      <c r="L804" s="793"/>
      <c r="M804" s="793"/>
      <c r="N804" s="793"/>
      <c r="O804" s="793"/>
      <c r="P804" s="793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2"/>
      <c r="C805" s="752" t="s">
        <v>16</v>
      </c>
      <c r="D805" s="1537" t="s">
        <v>17</v>
      </c>
      <c r="E805" s="1533"/>
      <c r="F805" s="1533"/>
      <c r="G805" s="597"/>
      <c r="H805" s="639" t="s">
        <v>12</v>
      </c>
      <c r="I805" s="611"/>
      <c r="J805" s="611"/>
      <c r="K805" s="93"/>
      <c r="L805" s="640">
        <f t="shared" ref="L805:N805" si="327">L806+L807</f>
        <v>0</v>
      </c>
      <c r="M805" s="640">
        <f t="shared" si="327"/>
        <v>0</v>
      </c>
      <c r="N805" s="640">
        <f t="shared" si="327"/>
        <v>0</v>
      </c>
      <c r="O805" s="640">
        <f t="shared" ref="O805:O810" si="328">IF(L805&gt;0,N805*100/L805,0)</f>
        <v>0</v>
      </c>
      <c r="P805" s="640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2"/>
      <c r="C806" s="752"/>
      <c r="D806" s="610"/>
      <c r="E806" s="752" t="s">
        <v>184</v>
      </c>
      <c r="F806" s="752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2"/>
      <c r="C807" s="752"/>
      <c r="D807" s="610"/>
      <c r="E807" s="752" t="s">
        <v>185</v>
      </c>
      <c r="F807" s="752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2"/>
      <c r="D808" s="1565" t="s">
        <v>20</v>
      </c>
      <c r="E808" s="1533"/>
      <c r="F808" s="1533"/>
      <c r="G808" s="597"/>
      <c r="H808" s="639" t="s">
        <v>12</v>
      </c>
      <c r="I808" s="166"/>
      <c r="J808" s="166"/>
      <c r="K808" s="167"/>
      <c r="L808" s="640">
        <f t="shared" ref="L808:N808" si="331">L809+L810</f>
        <v>0</v>
      </c>
      <c r="M808" s="640">
        <f t="shared" si="331"/>
        <v>0</v>
      </c>
      <c r="N808" s="640">
        <f t="shared" si="331"/>
        <v>0</v>
      </c>
      <c r="O808" s="640">
        <f t="shared" si="328"/>
        <v>0</v>
      </c>
      <c r="P808" s="640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2"/>
      <c r="C809" s="752"/>
      <c r="D809" s="610"/>
      <c r="E809" s="752" t="s">
        <v>184</v>
      </c>
      <c r="F809" s="752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2"/>
      <c r="C810" s="752"/>
      <c r="D810" s="610"/>
      <c r="E810" s="752" t="s">
        <v>185</v>
      </c>
      <c r="F810" s="752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2"/>
      <c r="B811" s="601"/>
      <c r="C811" s="752"/>
      <c r="D811" s="601"/>
      <c r="E811" s="752"/>
      <c r="F811" s="752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2"/>
      <c r="B812" s="601"/>
      <c r="C812" s="752"/>
      <c r="D812" s="601"/>
      <c r="E812" s="752"/>
      <c r="F812" s="752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2"/>
      <c r="B813" s="601"/>
      <c r="C813" s="752"/>
      <c r="D813" s="601"/>
      <c r="E813" s="752"/>
      <c r="F813" s="752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2"/>
      <c r="B814" s="601"/>
      <c r="C814" s="752"/>
      <c r="D814" s="601"/>
      <c r="E814" s="752"/>
      <c r="F814" s="752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2"/>
      <c r="D815" s="1565" t="s">
        <v>21</v>
      </c>
      <c r="E815" s="1533"/>
      <c r="F815" s="1533"/>
      <c r="G815" s="597"/>
      <c r="H815" s="776" t="s">
        <v>12</v>
      </c>
      <c r="I815" s="166"/>
      <c r="J815" s="166"/>
      <c r="K815" s="167"/>
      <c r="L815" s="640">
        <f t="shared" ref="L815:N815" si="332">L816+L817</f>
        <v>0</v>
      </c>
      <c r="M815" s="640">
        <f t="shared" si="332"/>
        <v>0</v>
      </c>
      <c r="N815" s="640">
        <f t="shared" si="332"/>
        <v>0</v>
      </c>
      <c r="O815" s="640">
        <f t="shared" ref="O815:O817" si="333">IF(L815&gt;0,N815*100/L815,0)</f>
        <v>0</v>
      </c>
      <c r="P815" s="640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2"/>
      <c r="D816" s="601"/>
      <c r="E816" s="752" t="s">
        <v>18</v>
      </c>
      <c r="F816" s="752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2"/>
      <c r="D817" s="601"/>
      <c r="E817" s="752" t="s">
        <v>19</v>
      </c>
      <c r="F817" s="752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2" t="s">
        <v>16</v>
      </c>
      <c r="D818" s="1524" t="s">
        <v>38</v>
      </c>
      <c r="E818" s="644"/>
      <c r="F818" s="644"/>
      <c r="G818" s="645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0"/>
      <c r="B819" s="821"/>
      <c r="C819" s="823"/>
      <c r="D819" s="821"/>
      <c r="E819" s="823" t="s">
        <v>323</v>
      </c>
      <c r="F819" s="823"/>
      <c r="G819" s="824"/>
      <c r="H819" s="825" t="s">
        <v>46</v>
      </c>
      <c r="I819" s="826"/>
      <c r="J819" s="826"/>
      <c r="K819" s="827"/>
      <c r="L819" s="827"/>
      <c r="M819" s="827"/>
      <c r="N819" s="827"/>
      <c r="O819" s="827"/>
      <c r="P819" s="827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1525" t="s">
        <v>337</v>
      </c>
      <c r="B820" s="1526"/>
      <c r="C820" s="1526"/>
      <c r="D820" s="1527"/>
      <c r="E820" s="1526"/>
      <c r="F820" s="1526"/>
      <c r="G820" s="1528"/>
      <c r="H820" s="1529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530"/>
      <c r="J820" s="1530"/>
      <c r="K820" s="1531"/>
      <c r="L820" s="1531"/>
      <c r="M820" s="1531"/>
      <c r="N820" s="1531"/>
      <c r="O820" s="1531"/>
      <c r="P820" s="1531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7"/>
      <c r="B821" s="756" t="s">
        <v>325</v>
      </c>
      <c r="C821" s="756"/>
      <c r="D821" s="569"/>
      <c r="E821" s="756"/>
      <c r="F821" s="756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IFERROR(__xludf.DUMMYFUNCTION("IMPORTRANGE(""https://docs.google.com/spreadsheets/d/19vJNZY_5yjcGF2XGBMNZRCAIB0Kwfpjp8YEOfu-bneM/edit?usp=sharing"",""งานกองทุน!F49"")"),2534578.37)</f>
        <v>2534578.37</v>
      </c>
      <c r="K821" s="497">
        <f t="shared" ref="K821:K828" ca="1" si="335">IF(I821&gt;0,J821*100/I821,0)</f>
        <v>53.654028324145273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7"/>
      <c r="B822" s="756"/>
      <c r="C822" s="756"/>
      <c r="D822" s="569"/>
      <c r="E822" s="756"/>
      <c r="F822" s="756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IFERROR(__xludf.DUMMYFUNCTION("IMPORTRANGE(""https://docs.google.com/spreadsheets/d/19vJNZY_5yjcGF2XGBMNZRCAIB0Kwfpjp8YEOfu-bneM/edit?usp=sharing"",""งานกองทุน!E49"")"),226)</f>
        <v>226</v>
      </c>
      <c r="K822" s="497">
        <f t="shared" ca="1" si="335"/>
        <v>54.32692307692308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7"/>
      <c r="B823" s="756" t="s">
        <v>326</v>
      </c>
      <c r="C823" s="756"/>
      <c r="D823" s="569"/>
      <c r="E823" s="756"/>
      <c r="F823" s="756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IFERROR(__xludf.DUMMYFUNCTION("IMPORTRANGE(""https://docs.google.com/spreadsheets/d/19vJNZY_5yjcGF2XGBMNZRCAIB0Kwfpjp8YEOfu-bneM/edit?usp=sharing"",""งานกองทุน!K49"")"),233372.27)</f>
        <v>233372.27</v>
      </c>
      <c r="K823" s="497">
        <f t="shared" ca="1" si="335"/>
        <v>7.0167949233018891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7"/>
      <c r="B824" s="756"/>
      <c r="C824" s="756"/>
      <c r="D824" s="569"/>
      <c r="E824" s="756"/>
      <c r="F824" s="756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IFERROR(__xludf.DUMMYFUNCTION("IMPORTRANGE(""https://docs.google.com/spreadsheets/d/19vJNZY_5yjcGF2XGBMNZRCAIB0Kwfpjp8YEOfu-bneM/edit?usp=sharing"",""งานกองทุน!J49"")"),67)</f>
        <v>67</v>
      </c>
      <c r="K824" s="497">
        <f t="shared" ca="1" si="335"/>
        <v>34.895833333333336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7"/>
      <c r="B825" s="756" t="s">
        <v>327</v>
      </c>
      <c r="C825" s="756"/>
      <c r="D825" s="569"/>
      <c r="E825" s="756"/>
      <c r="F825" s="756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IFERROR(__xludf.DUMMYFUNCTION("IMPORTRANGE(""https://docs.google.com/spreadsheets/d/19vJNZY_5yjcGF2XGBMNZRCAIB0Kwfpjp8YEOfu-bneM/edit?usp=sharing"",""งานกองทุน!P49"")"),16167.39)</f>
        <v>16167.39</v>
      </c>
      <c r="K825" s="497">
        <f t="shared" ca="1" si="335"/>
        <v>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7"/>
      <c r="B826" s="756"/>
      <c r="C826" s="756"/>
      <c r="D826" s="569"/>
      <c r="E826" s="756"/>
      <c r="F826" s="756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IFERROR(__xludf.DUMMYFUNCTION("IMPORTRANGE(""https://docs.google.com/spreadsheets/d/19vJNZY_5yjcGF2XGBMNZRCAIB0Kwfpjp8YEOfu-bneM/edit?usp=sharing"",""งานกองทุน!O49"")"),6)</f>
        <v>6</v>
      </c>
      <c r="K826" s="497">
        <f t="shared" ca="1" si="335"/>
        <v>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7"/>
      <c r="B827" s="756" t="s">
        <v>328</v>
      </c>
      <c r="C827" s="756"/>
      <c r="D827" s="569"/>
      <c r="E827" s="756"/>
      <c r="F827" s="756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0"/>
      <c r="B828" s="742"/>
      <c r="C828" s="742"/>
      <c r="D828" s="741"/>
      <c r="E828" s="742"/>
      <c r="F828" s="742"/>
      <c r="G828" s="834"/>
      <c r="H828" s="835" t="s">
        <v>35</v>
      </c>
      <c r="I828" s="500">
        <f ca="1">IFERROR(__xludf.DUMMYFUNCTION("IMPORTRANGE(""https://docs.google.com/spreadsheets/d/19vJNZY_5yjcGF2XGBMNZRCAIB0Kwfpjp8YEOfu-bneM/edit?usp=sharing"",""งานกองทุน!R49"")"),185)</f>
        <v>185</v>
      </c>
      <c r="J828" s="500">
        <f ca="1">IFERROR(__xludf.DUMMYFUNCTION("IMPORTRANGE(""https://docs.google.com/spreadsheets/d/19vJNZY_5yjcGF2XGBMNZRCAIB0Kwfpjp8YEOfu-bneM/edit?usp=sharing"",""งานกองทุน!T49"")"),160)</f>
        <v>160</v>
      </c>
      <c r="K828" s="501">
        <f t="shared" ca="1" si="335"/>
        <v>86.486486486486484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98C0-BCA9-4BD5-AE77-02F3B4DC6433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355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9925392</v>
      </c>
      <c r="M8" s="850">
        <f t="shared" ca="1" si="0"/>
        <v>5005506</v>
      </c>
      <c r="N8" s="850">
        <f t="shared" ca="1" si="0"/>
        <v>4179218.67</v>
      </c>
      <c r="O8" s="850">
        <f t="shared" ref="O8:O16" ca="1" si="1">IF(L8&gt;0,N8*100/L8,0)</f>
        <v>42.106333633976369</v>
      </c>
      <c r="P8" s="850">
        <f t="shared" ref="P8:P16" ca="1" si="2">IF(M8&gt;0,N8*100/M8,0)</f>
        <v>83.492431534394328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9925392</v>
      </c>
      <c r="M10" s="857">
        <f t="shared" ca="1" si="3"/>
        <v>5005506</v>
      </c>
      <c r="N10" s="857">
        <f t="shared" ca="1" si="3"/>
        <v>4179218.67</v>
      </c>
      <c r="O10" s="857">
        <f t="shared" ca="1" si="1"/>
        <v>42.106333633976369</v>
      </c>
      <c r="P10" s="857">
        <f t="shared" ca="1" si="2"/>
        <v>83.492431534394328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9751992</v>
      </c>
      <c r="M11" s="864">
        <f t="shared" ca="1" si="4"/>
        <v>4832106</v>
      </c>
      <c r="N11" s="864">
        <f t="shared" ca="1" si="4"/>
        <v>4005818.67</v>
      </c>
      <c r="O11" s="864">
        <f t="shared" ca="1" si="1"/>
        <v>41.076927360071664</v>
      </c>
      <c r="P11" s="864">
        <f t="shared" ca="1" si="2"/>
        <v>82.900057862969064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9751992</v>
      </c>
      <c r="M13" s="870">
        <f t="shared" ca="1" si="5"/>
        <v>4832106</v>
      </c>
      <c r="N13" s="870">
        <f t="shared" ca="1" si="5"/>
        <v>4005818.67</v>
      </c>
      <c r="O13" s="870">
        <f t="shared" ca="1" si="1"/>
        <v>41.076927360071664</v>
      </c>
      <c r="P13" s="870">
        <f t="shared" ca="1" si="2"/>
        <v>82.900057862969064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173400</v>
      </c>
      <c r="M14" s="864">
        <f t="shared" ca="1" si="6"/>
        <v>173400</v>
      </c>
      <c r="N14" s="864">
        <f t="shared" ca="1" si="6"/>
        <v>173400</v>
      </c>
      <c r="O14" s="864">
        <f t="shared" ca="1" si="1"/>
        <v>100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173400</v>
      </c>
      <c r="M16" s="876">
        <f t="shared" ca="1" si="7"/>
        <v>173400</v>
      </c>
      <c r="N16" s="876">
        <f t="shared" ca="1" si="7"/>
        <v>173400</v>
      </c>
      <c r="O16" s="876">
        <f t="shared" ca="1" si="1"/>
        <v>100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5968467</v>
      </c>
      <c r="M18" s="850">
        <f t="shared" ca="1" si="8"/>
        <v>5005506</v>
      </c>
      <c r="N18" s="850">
        <f t="shared" ca="1" si="8"/>
        <v>3119585.62</v>
      </c>
      <c r="O18" s="850">
        <f t="shared" ref="O18:O26" ca="1" si="9">IF(L18&gt;0,N18*100/L18,0)</f>
        <v>52.267787021357414</v>
      </c>
      <c r="P18" s="850">
        <f t="shared" ref="P18:P26" ca="1" si="10">IF(M18&gt;0,N18*100/M18,0)</f>
        <v>62.323082221857291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5968467</v>
      </c>
      <c r="M20" s="857">
        <f t="shared" ca="1" si="11"/>
        <v>5005506</v>
      </c>
      <c r="N20" s="857">
        <f t="shared" ca="1" si="11"/>
        <v>3119585.62</v>
      </c>
      <c r="O20" s="857">
        <f t="shared" ca="1" si="9"/>
        <v>52.267787021357414</v>
      </c>
      <c r="P20" s="857">
        <f t="shared" ca="1" si="10"/>
        <v>62.323082221857291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5795067</v>
      </c>
      <c r="M21" s="864">
        <f t="shared" ca="1" si="12"/>
        <v>4832106</v>
      </c>
      <c r="N21" s="864">
        <f t="shared" ca="1" si="12"/>
        <v>2946185.62</v>
      </c>
      <c r="O21" s="864">
        <f t="shared" ca="1" si="9"/>
        <v>50.839543701565489</v>
      </c>
      <c r="P21" s="864">
        <f t="shared" ca="1" si="10"/>
        <v>60.971046992760506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5795067</v>
      </c>
      <c r="M23" s="870">
        <f t="shared" ca="1" si="13"/>
        <v>4832106</v>
      </c>
      <c r="N23" s="870">
        <f t="shared" ca="1" si="13"/>
        <v>2946185.62</v>
      </c>
      <c r="O23" s="870">
        <f t="shared" ca="1" si="9"/>
        <v>50.839543701565489</v>
      </c>
      <c r="P23" s="870">
        <f t="shared" ca="1" si="10"/>
        <v>60.971046992760506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173400</v>
      </c>
      <c r="M24" s="864">
        <f t="shared" ca="1" si="14"/>
        <v>173400</v>
      </c>
      <c r="N24" s="864">
        <f t="shared" ca="1" si="14"/>
        <v>173400</v>
      </c>
      <c r="O24" s="864">
        <f t="shared" ca="1" si="9"/>
        <v>100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173400</v>
      </c>
      <c r="M26" s="876">
        <f t="shared" ca="1" si="15"/>
        <v>173400</v>
      </c>
      <c r="N26" s="876">
        <f t="shared" ca="1" si="15"/>
        <v>173400</v>
      </c>
      <c r="O26" s="876">
        <f t="shared" ca="1" si="9"/>
        <v>100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3956925</v>
      </c>
      <c r="M28" s="850">
        <f t="shared" si="16"/>
        <v>0</v>
      </c>
      <c r="N28" s="850">
        <f t="shared" si="16"/>
        <v>1059633.05</v>
      </c>
      <c r="O28" s="850">
        <f t="shared" ref="O28:O37" ca="1" si="17">IF(L28&gt;0,N28*100/L28,0)</f>
        <v>26.779204811817259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3956925</v>
      </c>
      <c r="M30" s="857">
        <f t="shared" si="19"/>
        <v>0</v>
      </c>
      <c r="N30" s="857">
        <f t="shared" si="19"/>
        <v>1059633.05</v>
      </c>
      <c r="O30" s="857">
        <f t="shared" ca="1" si="17"/>
        <v>26.779204811817259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3956925</v>
      </c>
      <c r="M31" s="864">
        <f t="shared" si="20"/>
        <v>0</v>
      </c>
      <c r="N31" s="864">
        <f t="shared" si="20"/>
        <v>1059633.05</v>
      </c>
      <c r="O31" s="864">
        <f t="shared" ca="1" si="17"/>
        <v>26.779204811817259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3956925</v>
      </c>
      <c r="M33" s="870">
        <f t="shared" si="21"/>
        <v>0</v>
      </c>
      <c r="N33" s="870">
        <f t="shared" si="21"/>
        <v>1059633.05</v>
      </c>
      <c r="O33" s="870">
        <f t="shared" ca="1" si="17"/>
        <v>26.779204811817259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5968467</v>
      </c>
      <c r="M37" s="883">
        <f t="shared" ca="1" si="24"/>
        <v>5005506</v>
      </c>
      <c r="N37" s="883">
        <f t="shared" ca="1" si="24"/>
        <v>3119585.62</v>
      </c>
      <c r="O37" s="883">
        <f t="shared" ca="1" si="17"/>
        <v>52.267787021357414</v>
      </c>
      <c r="P37" s="883">
        <f t="shared" ca="1" si="18"/>
        <v>62.323082221857291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690742</v>
      </c>
      <c r="M41" s="908">
        <f t="shared" ca="1" si="25"/>
        <v>703114</v>
      </c>
      <c r="N41" s="908">
        <f t="shared" ca="1" si="25"/>
        <v>346224</v>
      </c>
      <c r="O41" s="908">
        <f t="shared" ref="O41:O49" ca="1" si="26">IF(L41&gt;0,N41*100/L41,0)</f>
        <v>50.123490391492048</v>
      </c>
      <c r="P41" s="908">
        <f t="shared" ref="P41:P49" ca="1" si="27">IF(M41&gt;0,N41*100/M41,0)</f>
        <v>49.241517022844093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690742</v>
      </c>
      <c r="M43" s="914">
        <f t="shared" ca="1" si="28"/>
        <v>703114</v>
      </c>
      <c r="N43" s="914">
        <f t="shared" ca="1" si="28"/>
        <v>346224</v>
      </c>
      <c r="O43" s="914">
        <f t="shared" ca="1" si="26"/>
        <v>50.123490391492048</v>
      </c>
      <c r="P43" s="914">
        <f t="shared" ca="1" si="27"/>
        <v>49.241517022844093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690742</v>
      </c>
      <c r="M44" s="864">
        <f t="shared" ca="1" si="29"/>
        <v>703114</v>
      </c>
      <c r="N44" s="864">
        <f t="shared" ca="1" si="29"/>
        <v>346224</v>
      </c>
      <c r="O44" s="864">
        <f t="shared" ca="1" si="26"/>
        <v>50.123490391492048</v>
      </c>
      <c r="P44" s="864">
        <f t="shared" ca="1" si="27"/>
        <v>49.241517022844093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IFERROR(__xludf.DUMMYFUNCTION("IMPORTRANGE(""https://docs.google.com/spreadsheets/d/1MeEWN-I1oV_STSDYn1IFDPWt_1FKiwhDph83XaGc0o0/edit?usp=sharing"",""งบพรบ!M50"")"),690742)</f>
        <v>690742</v>
      </c>
      <c r="M46" s="870">
        <f ca="1">IFERROR(__xludf.DUMMYFUNCTION("IMPORTRANGE(""https://docs.google.com/spreadsheets/d/1MeEWN-I1oV_STSDYn1IFDPWt_1FKiwhDph83XaGc0o0/edit?usp=sharing"",""งบพรบ!R50"")"),703114)</f>
        <v>703114</v>
      </c>
      <c r="N46" s="870">
        <f ca="1">IFERROR(__xludf.DUMMYFUNCTION("IMPORTRANGE(""https://docs.google.com/spreadsheets/d/1MeEWN-I1oV_STSDYn1IFDPWt_1FKiwhDph83XaGc0o0/edit?usp=sharing"",""งบพรบ!T50"")"),346224)</f>
        <v>346224</v>
      </c>
      <c r="O46" s="870">
        <f t="shared" ca="1" si="26"/>
        <v>50.123490391492048</v>
      </c>
      <c r="P46" s="870">
        <f t="shared" ca="1" si="27"/>
        <v>49.241517022844093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IFERROR(__xludf.DUMMYFUNCTION("IMPORTRANGE(""https://docs.google.com/spreadsheets/d/1MeEWN-I1oV_STSDYn1IFDPWt_1FKiwhDph83XaGc0o0/edit?usp=sharing"",""งบพรบ!P50"")"),0)</f>
        <v>0</v>
      </c>
      <c r="M49" s="876">
        <f ca="1">IFERROR(__xludf.DUMMYFUNCTION("IMPORTRANGE(""https://docs.google.com/spreadsheets/d/1MeEWN-I1oV_STSDYn1IFDPWt_1FKiwhDph83XaGc0o0/edit?usp=sharing"",""งบพรบ!S50"")"),0)</f>
        <v>0</v>
      </c>
      <c r="N49" s="876">
        <f ca="1">IFERROR(__xludf.DUMMYFUNCTION("IMPORTRANGE(""https://docs.google.com/spreadsheets/d/1MeEWN-I1oV_STSDYn1IFDPWt_1FKiwhDph83XaGc0o0/edit?usp=sharing"",""งบพรบ!U50"")"),0)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850300</v>
      </c>
      <c r="M53" s="936">
        <f t="shared" ca="1" si="31"/>
        <v>637725</v>
      </c>
      <c r="N53" s="936">
        <f t="shared" ca="1" si="31"/>
        <v>386335.08</v>
      </c>
      <c r="O53" s="936">
        <f t="shared" ref="O53:O61" ca="1" si="32">IF(L53&gt;0,N53*100/L53,0)</f>
        <v>45.435149947077505</v>
      </c>
      <c r="P53" s="936">
        <f t="shared" ref="P53:P61" ca="1" si="33">IF(M53&gt;0,N53*100/M53,0)</f>
        <v>60.580199929436667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850300</v>
      </c>
      <c r="M55" s="942">
        <f t="shared" ca="1" si="34"/>
        <v>637725</v>
      </c>
      <c r="N55" s="942">
        <f t="shared" ca="1" si="34"/>
        <v>386335.08</v>
      </c>
      <c r="O55" s="942">
        <f t="shared" ca="1" si="32"/>
        <v>45.435149947077505</v>
      </c>
      <c r="P55" s="942">
        <f t="shared" ca="1" si="33"/>
        <v>60.580199929436667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850300</v>
      </c>
      <c r="M56" s="864">
        <f t="shared" ca="1" si="35"/>
        <v>637725</v>
      </c>
      <c r="N56" s="864">
        <f t="shared" ca="1" si="35"/>
        <v>386335.08</v>
      </c>
      <c r="O56" s="864">
        <f t="shared" ca="1" si="32"/>
        <v>45.435149947077505</v>
      </c>
      <c r="P56" s="864">
        <f t="shared" ca="1" si="33"/>
        <v>60.580199929436667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IFERROR(__xludf.DUMMYFUNCTION("IMPORTRANGE(""https://docs.google.com/spreadsheets/d/1MeEWN-I1oV_STSDYn1IFDPWt_1FKiwhDph83XaGc0o0/edit?usp=sharing"",""งบพรบ!W50"")"),850300)</f>
        <v>850300</v>
      </c>
      <c r="M58" s="870">
        <f ca="1">IFERROR(__xludf.DUMMYFUNCTION("IMPORTRANGE(""https://docs.google.com/spreadsheets/d/1MeEWN-I1oV_STSDYn1IFDPWt_1FKiwhDph83XaGc0o0/edit?usp=sharing"",""งบพรบ!AB50"")"),637725)</f>
        <v>637725</v>
      </c>
      <c r="N58" s="870">
        <f ca="1">IFERROR(__xludf.DUMMYFUNCTION("IMPORTRANGE(""https://docs.google.com/spreadsheets/d/1MeEWN-I1oV_STSDYn1IFDPWt_1FKiwhDph83XaGc0o0/edit?usp=sharing"",""งบพรบ!AD50"")"),386335.08)</f>
        <v>386335.08</v>
      </c>
      <c r="O58" s="870">
        <f t="shared" ca="1" si="32"/>
        <v>45.435149947077505</v>
      </c>
      <c r="P58" s="870">
        <f t="shared" ca="1" si="33"/>
        <v>60.580199929436667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0</v>
      </c>
      <c r="M59" s="864">
        <f t="shared" ca="1" si="36"/>
        <v>0</v>
      </c>
      <c r="N59" s="864">
        <f t="shared" ca="1" si="36"/>
        <v>0</v>
      </c>
      <c r="O59" s="864">
        <f t="shared" ca="1" si="32"/>
        <v>0</v>
      </c>
      <c r="P59" s="864">
        <f t="shared" ca="1" si="33"/>
        <v>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IFERROR(__xludf.DUMMYFUNCTION("IMPORTRANGE(""https://docs.google.com/spreadsheets/d/1MeEWN-I1oV_STSDYn1IFDPWt_1FKiwhDph83XaGc0o0/edit?usp=sharing"",""งบพรบ!Z50"")"),0)</f>
        <v>0</v>
      </c>
      <c r="M61" s="876">
        <f ca="1">IFERROR(__xludf.DUMMYFUNCTION("IMPORTRANGE(""https://docs.google.com/spreadsheets/d/1MeEWN-I1oV_STSDYn1IFDPWt_1FKiwhDph83XaGc0o0/edit?usp=sharing"",""งบพรบ!AC50"")"),0)</f>
        <v>0</v>
      </c>
      <c r="N61" s="876">
        <f ca="1">IFERROR(__xludf.DUMMYFUNCTION("IMPORTRANGE(""https://docs.google.com/spreadsheets/d/1MeEWN-I1oV_STSDYn1IFDPWt_1FKiwhDph83XaGc0o0/edit?usp=sharing"",""งบพรบ!AE50"")"),0)</f>
        <v>0</v>
      </c>
      <c r="O61" s="876">
        <f t="shared" ca="1" si="32"/>
        <v>0</v>
      </c>
      <c r="P61" s="876">
        <f t="shared" ca="1" si="33"/>
        <v>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70</v>
      </c>
      <c r="J65" s="962">
        <f t="shared" si="37"/>
        <v>40</v>
      </c>
      <c r="K65" s="963">
        <f t="shared" ca="1" si="38"/>
        <v>57.142857142857146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1079500</v>
      </c>
      <c r="M66" s="972">
        <f t="shared" ca="1" si="39"/>
        <v>856180</v>
      </c>
      <c r="N66" s="972">
        <f t="shared" ca="1" si="39"/>
        <v>529857.4</v>
      </c>
      <c r="O66" s="972">
        <f t="shared" ref="O66:O74" ca="1" si="40">IF(L66&gt;0,N66*100/L66,0)</f>
        <v>49.083594256600279</v>
      </c>
      <c r="P66" s="972">
        <f t="shared" ref="P66:P74" ca="1" si="41">IF(M66&gt;0,N66*100/M66,0)</f>
        <v>61.886215515429001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1079500</v>
      </c>
      <c r="M68" s="870">
        <f t="shared" ca="1" si="42"/>
        <v>856180</v>
      </c>
      <c r="N68" s="870">
        <f t="shared" ca="1" si="42"/>
        <v>529857.4</v>
      </c>
      <c r="O68" s="870">
        <f t="shared" ca="1" si="40"/>
        <v>49.083594256600279</v>
      </c>
      <c r="P68" s="870">
        <f t="shared" ca="1" si="41"/>
        <v>61.886215515429001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1079500</v>
      </c>
      <c r="M69" s="864">
        <f t="shared" ca="1" si="43"/>
        <v>856180</v>
      </c>
      <c r="N69" s="864">
        <f t="shared" ca="1" si="43"/>
        <v>529857.4</v>
      </c>
      <c r="O69" s="864">
        <f t="shared" ca="1" si="40"/>
        <v>49.083594256600279</v>
      </c>
      <c r="P69" s="864">
        <f t="shared" ca="1" si="41"/>
        <v>61.886215515429001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IFERROR(__xludf.DUMMYFUNCTION("IMPORTRANGE(""https://docs.google.com/spreadsheets/d/1MeEWN-I1oV_STSDYn1IFDPWt_1FKiwhDph83XaGc0o0/edit?usp=sharing"",""งบพรบ!AG50"")"),1079500)</f>
        <v>1079500</v>
      </c>
      <c r="M71" s="870">
        <f ca="1">IFERROR(__xludf.DUMMYFUNCTION("IMPORTRANGE(""https://docs.google.com/spreadsheets/d/1MeEWN-I1oV_STSDYn1IFDPWt_1FKiwhDph83XaGc0o0/edit?usp=sharing"",""งบพรบ!AL50"")"),856180)</f>
        <v>856180</v>
      </c>
      <c r="N71" s="870">
        <f ca="1">IFERROR(__xludf.DUMMYFUNCTION("IMPORTRANGE(""https://docs.google.com/spreadsheets/d/1MeEWN-I1oV_STSDYn1IFDPWt_1FKiwhDph83XaGc0o0/edit?usp=sharing"",""งบพรบ!AN50"")"),529857.4)</f>
        <v>529857.4</v>
      </c>
      <c r="O71" s="870">
        <f t="shared" ca="1" si="40"/>
        <v>49.083594256600279</v>
      </c>
      <c r="P71" s="870">
        <f t="shared" ca="1" si="41"/>
        <v>61.886215515429001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/>
      <c r="N73" s="870"/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IFERROR(__xludf.DUMMYFUNCTION("IMPORTRANGE(""https://docs.google.com/spreadsheets/d/1MeEWN-I1oV_STSDYn1IFDPWt_1FKiwhDph83XaGc0o0/edit?usp=sharing"",""งบพรบ!AJ50"")"),0)</f>
        <v>0</v>
      </c>
      <c r="M74" s="870">
        <f ca="1">IFERROR(__xludf.DUMMYFUNCTION("IMPORTRANGE(""https://docs.google.com/spreadsheets/d/1MeEWN-I1oV_STSDYn1IFDPWt_1FKiwhDph83XaGc0o0/edit?usp=sharing"",""งบพรบ!AM50"")"),0)</f>
        <v>0</v>
      </c>
      <c r="N74" s="870">
        <f ca="1">IFERROR(__xludf.DUMMYFUNCTION("IMPORTRANGE(""https://docs.google.com/spreadsheets/d/1MeEWN-I1oV_STSDYn1IFDPWt_1FKiwhDph83XaGc0o0/edit?usp=sharing"",""งบพรบ!AO50"")"),0)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70</v>
      </c>
      <c r="J77" s="863">
        <f t="shared" si="45"/>
        <v>40</v>
      </c>
      <c r="K77" s="978">
        <f t="shared" ca="1" si="46"/>
        <v>57.142857142857146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IFERROR(__xludf.DUMMYFUNCTION("IMPORTRANGE(""https://docs.google.com/spreadsheets/d/1QqKyyYR6Q21VydFLVH3TRQUabQu_ym0Zz7PgGX0-kHA/edit?usp=sharing"",""แผน!H50"")"),0)</f>
        <v>0</v>
      </c>
      <c r="J78" s="992">
        <v>0</v>
      </c>
      <c r="K78" s="978">
        <f t="shared" ca="1" si="46"/>
        <v>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IFERROR(__xludf.DUMMYFUNCTION("IMPORTRANGE(""https://docs.google.com/spreadsheets/d/1QqKyyYR6Q21VydFLVH3TRQUabQu_ym0Zz7PgGX0-kHA/edit?usp=sharing"",""แผน!I50"")"),0)</f>
        <v>0</v>
      </c>
      <c r="J79" s="992">
        <v>0</v>
      </c>
      <c r="K79" s="978">
        <f t="shared" ca="1" si="46"/>
        <v>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IFERROR(__xludf.DUMMYFUNCTION("IMPORTRANGE(""https://docs.google.com/spreadsheets/d/1QqKyyYR6Q21VydFLVH3TRQUabQu_ym0Zz7PgGX0-kHA/edit?usp=sharing"",""แผน!F50"")"),1)</f>
        <v>1</v>
      </c>
      <c r="J80" s="992">
        <v>1</v>
      </c>
      <c r="K80" s="978">
        <f t="shared" ca="1" si="46"/>
        <v>100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IFERROR(__xludf.DUMMYFUNCTION("IMPORTRANGE(""https://docs.google.com/spreadsheets/d/1QqKyyYR6Q21VydFLVH3TRQUabQu_ym0Zz7PgGX0-kHA/edit?usp=sharing"",""แผน!G50"")"),70)</f>
        <v>70</v>
      </c>
      <c r="J81" s="992">
        <v>40</v>
      </c>
      <c r="K81" s="978">
        <f t="shared" ca="1" si="46"/>
        <v>57.142857142857146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IFERROR(__xludf.DUMMYFUNCTION("IMPORTRANGE(""https://docs.google.com/spreadsheets/d/1QqKyyYR6Q21VydFLVH3TRQUabQu_ym0Zz7PgGX0-kHA/edit?usp=sharing"",""แผน!D50"")"),0)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IFERROR(__xludf.DUMMYFUNCTION("IMPORTRANGE(""https://docs.google.com/spreadsheets/d/1QqKyyYR6Q21VydFLVH3TRQUabQu_ym0Zz7PgGX0-kHA/edit?usp=sharing"",""แผน!E50"")"),0)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IFERROR(__xludf.DUMMYFUNCTION("IMPORTRANGE(""https://docs.google.com/spreadsheets/d/1QqKyyYR6Q21VydFLVH3TRQUabQu_ym0Zz7PgGX0-kHA/edit?usp=sharing"",""แผน!J50"")"),1)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30</v>
      </c>
      <c r="J86" s="962">
        <f t="shared" si="47"/>
        <v>30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10</v>
      </c>
      <c r="J87" s="962">
        <f t="shared" si="47"/>
        <v>10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85840</v>
      </c>
      <c r="M88" s="972">
        <f t="shared" ca="1" si="49"/>
        <v>79140</v>
      </c>
      <c r="N88" s="972">
        <f t="shared" ca="1" si="49"/>
        <v>46743</v>
      </c>
      <c r="O88" s="972">
        <f t="shared" ref="O88:O96" ca="1" si="50">IF(L88&gt;0,N88*100/L88,0)</f>
        <v>54.45363466915191</v>
      </c>
      <c r="P88" s="972">
        <f t="shared" ref="P88:P96" ca="1" si="51">IF(M88&gt;0,N88*100/M88,0)</f>
        <v>59.063684609552695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85840</v>
      </c>
      <c r="M90" s="870">
        <f t="shared" ca="1" si="52"/>
        <v>79140</v>
      </c>
      <c r="N90" s="870">
        <f t="shared" ca="1" si="52"/>
        <v>46743</v>
      </c>
      <c r="O90" s="870">
        <f t="shared" ca="1" si="50"/>
        <v>54.45363466915191</v>
      </c>
      <c r="P90" s="870">
        <f t="shared" ca="1" si="51"/>
        <v>59.063684609552695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85840</v>
      </c>
      <c r="M91" s="864">
        <f t="shared" ca="1" si="53"/>
        <v>79140</v>
      </c>
      <c r="N91" s="864">
        <f t="shared" ca="1" si="53"/>
        <v>46743</v>
      </c>
      <c r="O91" s="864">
        <f t="shared" ca="1" si="50"/>
        <v>54.45363466915191</v>
      </c>
      <c r="P91" s="864">
        <f t="shared" ca="1" si="51"/>
        <v>59.063684609552695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IFERROR(__xludf.DUMMYFUNCTION("IMPORTRANGE(""https://docs.google.com/spreadsheets/d/1MeEWN-I1oV_STSDYn1IFDPWt_1FKiwhDph83XaGc0o0/edit?usp=sharing"",""งบพรบ!AQ50"")"),85840)</f>
        <v>85840</v>
      </c>
      <c r="M93" s="870">
        <f ca="1">IFERROR(__xludf.DUMMYFUNCTION("IMPORTRANGE(""https://docs.google.com/spreadsheets/d/1MeEWN-I1oV_STSDYn1IFDPWt_1FKiwhDph83XaGc0o0/edit?usp=sharing"",""งบพรบ!AV50"")"),79140)</f>
        <v>79140</v>
      </c>
      <c r="N93" s="870">
        <f ca="1">IFERROR(__xludf.DUMMYFUNCTION("IMPORTRANGE(""https://docs.google.com/spreadsheets/d/1MeEWN-I1oV_STSDYn1IFDPWt_1FKiwhDph83XaGc0o0/edit?usp=sharing"",""งบพรบ!AX50"")"),46743)</f>
        <v>46743</v>
      </c>
      <c r="O93" s="870">
        <f t="shared" ca="1" si="50"/>
        <v>54.45363466915191</v>
      </c>
      <c r="P93" s="870">
        <f t="shared" ca="1" si="51"/>
        <v>59.063684609552695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IFERROR(__xludf.DUMMYFUNCTION("IMPORTRANGE(""https://docs.google.com/spreadsheets/d/1MeEWN-I1oV_STSDYn1IFDPWt_1FKiwhDph83XaGc0o0/edit?usp=sharing"",""งบพรบ!AT50"")"),0)</f>
        <v>0</v>
      </c>
      <c r="M96" s="870">
        <f ca="1">IFERROR(__xludf.DUMMYFUNCTION("IMPORTRANGE(""https://docs.google.com/spreadsheets/d/1MeEWN-I1oV_STSDYn1IFDPWt_1FKiwhDph83XaGc0o0/edit?usp=sharing"",""งบพรบ!AW50"")"),0)</f>
        <v>0</v>
      </c>
      <c r="N96" s="870">
        <f ca="1">IFERROR(__xludf.DUMMYFUNCTION("IMPORTRANGE(""https://docs.google.com/spreadsheets/d/1MeEWN-I1oV_STSDYn1IFDPWt_1FKiwhDph83XaGc0o0/edit?usp=sharing"",""งบพรบ!AY50"")"),0)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IFERROR(__xludf.DUMMYFUNCTION("IMPORTRANGE(""https://docs.google.com/spreadsheets/d/1QqKyyYR6Q21VydFLVH3TRQUabQu_ym0Zz7PgGX0-kHA/edit?usp=sharing"",""แผน!K50"")"),30)</f>
        <v>30</v>
      </c>
      <c r="J98" s="863">
        <f>J102</f>
        <v>30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IFERROR(__xludf.DUMMYFUNCTION("IMPORTRANGE(""https://docs.google.com/spreadsheets/d/1QqKyyYR6Q21VydFLVH3TRQUabQu_ym0Zz7PgGX0-kHA/edit?usp=sharing"",""แผน!L50"")"),10)</f>
        <v>10</v>
      </c>
      <c r="J99" s="863">
        <f>J104</f>
        <v>10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IFERROR(__xludf.DUMMYFUNCTION("IMPORTRANGE(""https://docs.google.com/spreadsheets/d/1QqKyyYR6Q21VydFLVH3TRQUabQu_ym0Zz7PgGX0-kHA/edit?usp=sharing"",""แผน!M50"")"),2)</f>
        <v>2</v>
      </c>
      <c r="J100" s="863">
        <f>J107+J110</f>
        <v>1</v>
      </c>
      <c r="K100" s="864">
        <f t="shared" ca="1" si="55"/>
        <v>50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IFERROR(__xludf.DUMMYFUNCTION("IMPORTRANGE(""https://docs.google.com/spreadsheets/d/1QqKyyYR6Q21VydFLVH3TRQUabQu_ym0Zz7PgGX0-kHA/edit?usp=sharing"",""แผน!N50"")"),30)</f>
        <v>30</v>
      </c>
      <c r="J102" s="992">
        <v>30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IFERROR(__xludf.DUMMYFUNCTION("IMPORTRANGE(""https://docs.google.com/spreadsheets/d/1QqKyyYR6Q21VydFLVH3TRQUabQu_ym0Zz7PgGX0-kHA/edit?usp=sharing"",""แผน!O50"")"),10)</f>
        <v>10</v>
      </c>
      <c r="J103" s="992">
        <v>10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IFERROR(__xludf.DUMMYFUNCTION("IMPORTRANGE(""https://docs.google.com/spreadsheets/d/1QqKyyYR6Q21VydFLVH3TRQUabQu_ym0Zz7PgGX0-kHA/edit?usp=sharing"",""แผน!O50"")"),10)</f>
        <v>10</v>
      </c>
      <c r="J104" s="992">
        <v>10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IFERROR(__xludf.DUMMYFUNCTION("IMPORTRANGE(""https://docs.google.com/spreadsheets/d/1QqKyyYR6Q21VydFLVH3TRQUabQu_ym0Zz7PgGX0-kHA/edit?usp=sharing"",""แผน!P50"")"),1)</f>
        <v>1</v>
      </c>
      <c r="J106" s="992">
        <v>1</v>
      </c>
      <c r="K106" s="864">
        <f t="shared" ref="K106:K107" ca="1" si="57">IF(I106&gt;0,J106*100/I106,0)</f>
        <v>100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IFERROR(__xludf.DUMMYFUNCTION("IMPORTRANGE(""https://docs.google.com/spreadsheets/d/1QqKyyYR6Q21VydFLVH3TRQUabQu_ym0Zz7PgGX0-kHA/edit?usp=sharing"",""แผน!P50"")"),1)</f>
        <v>1</v>
      </c>
      <c r="J107" s="992">
        <v>1</v>
      </c>
      <c r="K107" s="864">
        <f t="shared" ca="1" si="57"/>
        <v>100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IFERROR(__xludf.DUMMYFUNCTION("IMPORTRANGE(""https://docs.google.com/spreadsheets/d/1QqKyyYR6Q21VydFLVH3TRQUabQu_ym0Zz7PgGX0-kHA/edit?usp=sharing"",""แผน!Q50"")"),1)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IFERROR(__xludf.DUMMYFUNCTION("IMPORTRANGE(""https://docs.google.com/spreadsheets/d/1QqKyyYR6Q21VydFLVH3TRQUabQu_ym0Zz7PgGX0-kHA/edit?usp=sharing"",""แผน!Q50"")"),1)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IFERROR(__xludf.DUMMYFUNCTION("IMPORTRANGE(""https://docs.google.com/spreadsheets/d/1QqKyyYR6Q21VydFLVH3TRQUabQu_ym0Zz7PgGX0-kHA/edit?usp=sharing"",""แผน!R50"")"),10)</f>
        <v>10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IFERROR(__xludf.DUMMYFUNCTION("IMPORTRANGE(""https://docs.google.com/spreadsheets/d/1QqKyyYR6Q21VydFLVH3TRQUabQu_ym0Zz7PgGX0-kHA/edit?usp=sharing"",""แผน!R50"")"),10)</f>
        <v>10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IFERROR(__xludf.DUMMYFUNCTION("IMPORTRANGE(""https://docs.google.com/spreadsheets/d/1QqKyyYR6Q21VydFLVH3TRQUabQu_ym0Zz7PgGX0-kHA/edit?usp=sharing"",""แผน!R50"")"),10)</f>
        <v>10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IFERROR(__xludf.DUMMYFUNCTION("IMPORTRANGE(""https://docs.google.com/spreadsheets/d/1QqKyyYR6Q21VydFLVH3TRQUabQu_ym0Zz7PgGX0-kHA/edit?usp=sharing"",""แผน!S50"")"),1)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IFERROR(__xludf.DUMMYFUNCTION("IMPORTRANGE(""https://docs.google.com/spreadsheets/d/1QqKyyYR6Q21VydFLVH3TRQUabQu_ym0Zz7PgGX0-kHA/edit?usp=sharing"",""แผน!T50"")"),1)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IFERROR(__xludf.DUMMYFUNCTION("IMPORTRANGE(""https://docs.google.com/spreadsheets/d/1MeEWN-I1oV_STSDYn1IFDPWt_1FKiwhDph83XaGc0o0/edit?usp=sharing"",""งบพรบ!BA50"")"),0)</f>
        <v>0</v>
      </c>
      <c r="M124" s="870">
        <f ca="1">IFERROR(__xludf.DUMMYFUNCTION("IMPORTRANGE(""https://docs.google.com/spreadsheets/d/1MeEWN-I1oV_STSDYn1IFDPWt_1FKiwhDph83XaGc0o0/edit?usp=sharing"",""งบพรบ!BF50"")"),0)</f>
        <v>0</v>
      </c>
      <c r="N124" s="870">
        <f ca="1">IFERROR(__xludf.DUMMYFUNCTION("IMPORTRANGE(""https://docs.google.com/spreadsheets/d/1MeEWN-I1oV_STSDYn1IFDPWt_1FKiwhDph83XaGc0o0/edit?usp=sharing"",""งบพรบ!BH50"")"),0)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IFERROR(__xludf.DUMMYFUNCTION("IMPORTRANGE(""https://docs.google.com/spreadsheets/d/1MeEWN-I1oV_STSDYn1IFDPWt_1FKiwhDph83XaGc0o0/edit?usp=sharing"",""งบพรบ!BD50"")"),0)</f>
        <v>0</v>
      </c>
      <c r="M127" s="870">
        <f ca="1">IFERROR(__xludf.DUMMYFUNCTION("IMPORTRANGE(""https://docs.google.com/spreadsheets/d/1MeEWN-I1oV_STSDYn1IFDPWt_1FKiwhDph83XaGc0o0/edit?usp=sharing"",""งบพรบ!BG50"")"),0)</f>
        <v>0</v>
      </c>
      <c r="N127" s="870">
        <f ca="1">IFERROR(__xludf.DUMMYFUNCTION("IMPORTRANGE(""https://docs.google.com/spreadsheets/d/1MeEWN-I1oV_STSDYn1IFDPWt_1FKiwhDph83XaGc0o0/edit?usp=sharing"",""งบพรบ!BI50"")"),0)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IFERROR(__xludf.DUMMYFUNCTION("IMPORTRANGE(""https://docs.google.com/spreadsheets/d/1MeEWN-I1oV_STSDYn1IFDPWt_1FKiwhDph83XaGc0o0/edit?usp=sharing"",""งบพรบ!BK50"")"),0)</f>
        <v>0</v>
      </c>
      <c r="M137" s="870">
        <f ca="1">IFERROR(__xludf.DUMMYFUNCTION("IMPORTRANGE(""https://docs.google.com/spreadsheets/d/1MeEWN-I1oV_STSDYn1IFDPWt_1FKiwhDph83XaGc0o0/edit?usp=sharing"",""งบพรบ!BP50"")"),0)</f>
        <v>0</v>
      </c>
      <c r="N137" s="870">
        <f ca="1">IFERROR(__xludf.DUMMYFUNCTION("IMPORTRANGE(""https://docs.google.com/spreadsheets/d/1MeEWN-I1oV_STSDYn1IFDPWt_1FKiwhDph83XaGc0o0/edit?usp=sharing"",""งบพรบ!BR50"")"),0)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IFERROR(__xludf.DUMMYFUNCTION("IMPORTRANGE(""https://docs.google.com/spreadsheets/d/1MeEWN-I1oV_STSDYn1IFDPWt_1FKiwhDph83XaGc0o0/edit?usp=sharing"",""งบพรบ!BN50"")"),0)</f>
        <v>0</v>
      </c>
      <c r="M140" s="870">
        <f ca="1">IFERROR(__xludf.DUMMYFUNCTION("IMPORTRANGE(""https://docs.google.com/spreadsheets/d/1MeEWN-I1oV_STSDYn1IFDPWt_1FKiwhDph83XaGc0o0/edit?usp=sharing"",""งบพรบ!BQ50"")"),0)</f>
        <v>0</v>
      </c>
      <c r="N140" s="870">
        <f ca="1">IFERROR(__xludf.DUMMYFUNCTION("IMPORTRANGE(""https://docs.google.com/spreadsheets/d/1MeEWN-I1oV_STSDYn1IFDPWt_1FKiwhDph83XaGc0o0/edit?usp=sharing"",""งบพรบ!BS50"")"),0)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IFERROR(__xludf.DUMMYFUNCTION("IMPORTRANGE(""https://docs.google.com/spreadsheets/d/1QqKyyYR6Q21VydFLVH3TRQUabQu_ym0Zz7PgGX0-kHA/edit?usp=sharing"",""แผน!U50"")"),0)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IFERROR(__xludf.DUMMYFUNCTION("IMPORTRANGE(""https://docs.google.com/spreadsheets/d/1QqKyyYR6Q21VydFLVH3TRQUabQu_ym0Zz7PgGX0-kHA/edit?usp=sharing"",""แผน!V50"")"),0)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IFERROR(__xludf.DUMMYFUNCTION("IMPORTRANGE(""https://docs.google.com/spreadsheets/d/1QqKyyYR6Q21VydFLVH3TRQUabQu_ym0Zz7PgGX0-kHA/edit?usp=sharing"",""แผน!W50"")"),0)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20</v>
      </c>
      <c r="J148" s="962">
        <f t="shared" si="76"/>
        <v>52</v>
      </c>
      <c r="K148" s="963">
        <f ca="1">IF(I148&gt;0,J148*100/I148,0)</f>
        <v>260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10000</v>
      </c>
      <c r="M149" s="972">
        <f t="shared" ca="1" si="77"/>
        <v>23460</v>
      </c>
      <c r="N149" s="972">
        <f t="shared" ca="1" si="77"/>
        <v>15770</v>
      </c>
      <c r="O149" s="972">
        <f t="shared" ref="O149:O157" ca="1" si="78">IF(L149&gt;0,N149*100/L149,0)</f>
        <v>157.69999999999999</v>
      </c>
      <c r="P149" s="972">
        <f t="shared" ref="P149:P157" ca="1" si="79">IF(M149&gt;0,N149*100/M149,0)</f>
        <v>67.22080136402387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10000</v>
      </c>
      <c r="M151" s="870">
        <f t="shared" ca="1" si="80"/>
        <v>23460</v>
      </c>
      <c r="N151" s="870">
        <f t="shared" ca="1" si="80"/>
        <v>15770</v>
      </c>
      <c r="O151" s="870">
        <f t="shared" ca="1" si="78"/>
        <v>157.69999999999999</v>
      </c>
      <c r="P151" s="870">
        <f t="shared" ca="1" si="79"/>
        <v>67.22080136402387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10000</v>
      </c>
      <c r="M152" s="864">
        <f t="shared" ca="1" si="81"/>
        <v>23460</v>
      </c>
      <c r="N152" s="864">
        <f t="shared" ca="1" si="81"/>
        <v>15770</v>
      </c>
      <c r="O152" s="864">
        <f t="shared" ca="1" si="78"/>
        <v>157.69999999999999</v>
      </c>
      <c r="P152" s="864">
        <f t="shared" ca="1" si="79"/>
        <v>67.22080136402387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IFERROR(__xludf.DUMMYFUNCTION("IMPORTRANGE(""https://docs.google.com/spreadsheets/d/1MeEWN-I1oV_STSDYn1IFDPWt_1FKiwhDph83XaGc0o0/edit?usp=sharing"",""งบพรบ!BU50"")"),10000)</f>
        <v>10000</v>
      </c>
      <c r="M154" s="870">
        <f ca="1">IFERROR(__xludf.DUMMYFUNCTION("IMPORTRANGE(""https://docs.google.com/spreadsheets/d/1MeEWN-I1oV_STSDYn1IFDPWt_1FKiwhDph83XaGc0o0/edit?usp=sharing"",""งบพรบ!BZ50"")"),23460)</f>
        <v>23460</v>
      </c>
      <c r="N154" s="870">
        <f ca="1">IFERROR(__xludf.DUMMYFUNCTION("IMPORTRANGE(""https://docs.google.com/spreadsheets/d/1MeEWN-I1oV_STSDYn1IFDPWt_1FKiwhDph83XaGc0o0/edit?usp=sharing"",""งบพรบ!CB50"")"),15770)</f>
        <v>15770</v>
      </c>
      <c r="O154" s="870">
        <f t="shared" ca="1" si="78"/>
        <v>157.69999999999999</v>
      </c>
      <c r="P154" s="870">
        <f t="shared" ca="1" si="79"/>
        <v>67.22080136402387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IFERROR(__xludf.DUMMYFUNCTION("IMPORTRANGE(""https://docs.google.com/spreadsheets/d/1MeEWN-I1oV_STSDYn1IFDPWt_1FKiwhDph83XaGc0o0/edit?usp=sharing"",""งบพรบ!BX50"")"),0)</f>
        <v>0</v>
      </c>
      <c r="M157" s="870">
        <f ca="1">IFERROR(__xludf.DUMMYFUNCTION("IMPORTRANGE(""https://docs.google.com/spreadsheets/d/1MeEWN-I1oV_STSDYn1IFDPWt_1FKiwhDph83XaGc0o0/edit?usp=sharing"",""งบพรบ!CA50"")"),0)</f>
        <v>0</v>
      </c>
      <c r="N157" s="870">
        <f ca="1">IFERROR(__xludf.DUMMYFUNCTION("IMPORTRANGE(""https://docs.google.com/spreadsheets/d/1MeEWN-I1oV_STSDYn1IFDPWt_1FKiwhDph83XaGc0o0/edit?usp=sharing"",""งบพรบ!CC50"")"),0)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IFERROR(__xludf.DUMMYFUNCTION("IMPORTRANGE(""https://docs.google.com/spreadsheets/d/1QqKyyYR6Q21VydFLVH3TRQUabQu_ym0Zz7PgGX0-kHA/edit?usp=sharing"",""แผน!X50"")"),20)</f>
        <v>20</v>
      </c>
      <c r="J159" s="992">
        <v>52</v>
      </c>
      <c r="K159" s="864">
        <f ca="1">IF(I159&gt;0,J159*100/I159,0)</f>
        <v>260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11</v>
      </c>
      <c r="J164" s="1041">
        <f t="shared" si="83"/>
        <v>11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22055</v>
      </c>
      <c r="M165" s="972">
        <f t="shared" ca="1" si="84"/>
        <v>22055</v>
      </c>
      <c r="N165" s="972">
        <f t="shared" ca="1" si="84"/>
        <v>22055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22055</v>
      </c>
      <c r="M167" s="870">
        <f t="shared" ca="1" si="87"/>
        <v>22055</v>
      </c>
      <c r="N167" s="870">
        <f t="shared" ca="1" si="87"/>
        <v>22055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22055</v>
      </c>
      <c r="M168" s="864">
        <f t="shared" ca="1" si="88"/>
        <v>22055</v>
      </c>
      <c r="N168" s="864">
        <f t="shared" ca="1" si="88"/>
        <v>22055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IFERROR(__xludf.DUMMYFUNCTION("IMPORTRANGE(""https://docs.google.com/spreadsheets/d/1MeEWN-I1oV_STSDYn1IFDPWt_1FKiwhDph83XaGc0o0/edit?usp=sharing"",""งบพรบ!CE50"")"),22055)</f>
        <v>22055</v>
      </c>
      <c r="M170" s="870">
        <f ca="1">IFERROR(__xludf.DUMMYFUNCTION("IMPORTRANGE(""https://docs.google.com/spreadsheets/d/1MeEWN-I1oV_STSDYn1IFDPWt_1FKiwhDph83XaGc0o0/edit?usp=sharing"",""งบพรบ!CJ50"")"),22055)</f>
        <v>22055</v>
      </c>
      <c r="N170" s="870">
        <f ca="1">IFERROR(__xludf.DUMMYFUNCTION("IMPORTRANGE(""https://docs.google.com/spreadsheets/d/1MeEWN-I1oV_STSDYn1IFDPWt_1FKiwhDph83XaGc0o0/edit?usp=sharing"",""งบพรบ!CL50"")"),22055)</f>
        <v>22055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IFERROR(__xludf.DUMMYFUNCTION("IMPORTRANGE(""https://docs.google.com/spreadsheets/d/1MeEWN-I1oV_STSDYn1IFDPWt_1FKiwhDph83XaGc0o0/edit?usp=sharing"",""งบพรบ!CH50"")"),0)</f>
        <v>0</v>
      </c>
      <c r="M173" s="870">
        <f ca="1">IFERROR(__xludf.DUMMYFUNCTION("IMPORTRANGE(""https://docs.google.com/spreadsheets/d/1MeEWN-I1oV_STSDYn1IFDPWt_1FKiwhDph83XaGc0o0/edit?usp=sharing"",""งบพรบ!CK50"")"),0)</f>
        <v>0</v>
      </c>
      <c r="N173" s="870">
        <f ca="1">IFERROR(__xludf.DUMMYFUNCTION("IMPORTRANGE(""https://docs.google.com/spreadsheets/d/1MeEWN-I1oV_STSDYn1IFDPWt_1FKiwhDph83XaGc0o0/edit?usp=sharing"",""งบพรบ!CM50"")"),0)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11</v>
      </c>
      <c r="J174" s="1048">
        <f t="shared" si="90"/>
        <v>11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IFERROR(__xludf.DUMMYFUNCTION("IMPORTRANGE(""https://docs.google.com/spreadsheets/d/1QqKyyYR6Q21VydFLVH3TRQUabQu_ym0Zz7PgGX0-kHA/edit?usp=sharing"",""แผน!Y50"")"),11)</f>
        <v>11</v>
      </c>
      <c r="J176" s="992">
        <v>11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0</v>
      </c>
      <c r="J180" s="1041">
        <f t="shared" si="91"/>
        <v>0</v>
      </c>
      <c r="K180" s="1042">
        <f ca="1">IF(I180&gt;0,J180*100/I180,0)</f>
        <v>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93500</v>
      </c>
      <c r="M181" s="972">
        <f t="shared" ca="1" si="92"/>
        <v>88500</v>
      </c>
      <c r="N181" s="972">
        <f t="shared" ca="1" si="92"/>
        <v>56850</v>
      </c>
      <c r="O181" s="972">
        <f t="shared" ref="O181:O189" ca="1" si="93">IF(L181&gt;0,N181*100/L181,0)</f>
        <v>60.802139037433157</v>
      </c>
      <c r="P181" s="972">
        <f t="shared" ref="P181:P189" ca="1" si="94">IF(M181&gt;0,N181*100/M181,0)</f>
        <v>64.237288135593218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93500</v>
      </c>
      <c r="M183" s="870">
        <f t="shared" ca="1" si="95"/>
        <v>88500</v>
      </c>
      <c r="N183" s="870">
        <f t="shared" ca="1" si="95"/>
        <v>56850</v>
      </c>
      <c r="O183" s="870">
        <f t="shared" ca="1" si="93"/>
        <v>60.802139037433157</v>
      </c>
      <c r="P183" s="870">
        <f t="shared" ca="1" si="94"/>
        <v>64.237288135593218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93500</v>
      </c>
      <c r="M184" s="864">
        <f t="shared" ca="1" si="96"/>
        <v>88500</v>
      </c>
      <c r="N184" s="864">
        <f t="shared" ca="1" si="96"/>
        <v>56850</v>
      </c>
      <c r="O184" s="864">
        <f t="shared" ca="1" si="93"/>
        <v>60.802139037433157</v>
      </c>
      <c r="P184" s="864">
        <f t="shared" ca="1" si="94"/>
        <v>64.237288135593218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IFERROR(__xludf.DUMMYFUNCTION("IMPORTRANGE(""https://docs.google.com/spreadsheets/d/1MeEWN-I1oV_STSDYn1IFDPWt_1FKiwhDph83XaGc0o0/edit?usp=sharing"",""งบพรบ!CO50"")"),93500)</f>
        <v>93500</v>
      </c>
      <c r="M186" s="870">
        <f ca="1">IFERROR(__xludf.DUMMYFUNCTION("IMPORTRANGE(""https://docs.google.com/spreadsheets/d/1MeEWN-I1oV_STSDYn1IFDPWt_1FKiwhDph83XaGc0o0/edit?usp=sharing"",""งบพรบ!CT50"")"),88500)</f>
        <v>88500</v>
      </c>
      <c r="N186" s="870">
        <f ca="1">IFERROR(__xludf.DUMMYFUNCTION("IMPORTRANGE(""https://docs.google.com/spreadsheets/d/1MeEWN-I1oV_STSDYn1IFDPWt_1FKiwhDph83XaGc0o0/edit?usp=sharing"",""งบพรบ!CV50"")"),56850)</f>
        <v>56850</v>
      </c>
      <c r="O186" s="870">
        <f t="shared" ca="1" si="93"/>
        <v>60.802139037433157</v>
      </c>
      <c r="P186" s="870">
        <f t="shared" ca="1" si="94"/>
        <v>64.237288135593218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IFERROR(__xludf.DUMMYFUNCTION("IMPORTRANGE(""https://docs.google.com/spreadsheets/d/1MeEWN-I1oV_STSDYn1IFDPWt_1FKiwhDph83XaGc0o0/edit?usp=sharing"",""งบพรบ!CR50"")"),0)</f>
        <v>0</v>
      </c>
      <c r="M189" s="870">
        <f ca="1">IFERROR(__xludf.DUMMYFUNCTION("IMPORTRANGE(""https://docs.google.com/spreadsheets/d/1MeEWN-I1oV_STSDYn1IFDPWt_1FKiwhDph83XaGc0o0/edit?usp=sharing"",""งบพรบ!CU50"")"),0)</f>
        <v>0</v>
      </c>
      <c r="N189" s="870">
        <f ca="1">IFERROR(__xludf.DUMMYFUNCTION("IMPORTRANGE(""https://docs.google.com/spreadsheets/d/1MeEWN-I1oV_STSDYn1IFDPWt_1FKiwhDph83XaGc0o0/edit?usp=sharing"",""งบพรบ!CW50"")"),0)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IFERROR(__xludf.DUMMYFUNCTION("IMPORTRANGE(""https://docs.google.com/spreadsheets/d/1QqKyyYR6Q21VydFLVH3TRQUabQu_ym0Zz7PgGX0-kHA/edit?usp=sharing"",""แผน!Z50"")"),6000)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IFERROR(__xludf.DUMMYFUNCTION("IMPORTRANGE(""https://docs.google.com/spreadsheets/d/1QqKyyYR6Q21VydFLVH3TRQUabQu_ym0Zz7PgGX0-kHA/edit?usp=sharing"",""แผน!AC50"")"),4)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186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f>154+17</f>
        <v>171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15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3</v>
      </c>
      <c r="J197" s="1057">
        <f t="shared" si="99"/>
        <v>3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39000</v>
      </c>
      <c r="M198" s="972"/>
      <c r="N198" s="972">
        <f>N199+N200+N201+N202</f>
        <v>27000</v>
      </c>
      <c r="O198" s="972">
        <f ca="1">IF(L198&gt;0,N198*100/L198,0)</f>
        <v>69.230769230769226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IFERROR(__xludf.DUMMYFUNCTION("IMPORTRANGE(""https://docs.google.com/spreadsheets/d/1QqKyyYR6Q21VydFLVH3TRQUabQu_ym0Zz7PgGX0-kHA/edit?usp=sharing"",""แผน!AE50"")"),3000)</f>
        <v>3000</v>
      </c>
      <c r="M199" s="864"/>
      <c r="N199" s="1064">
        <v>3000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IFERROR(__xludf.DUMMYFUNCTION("IMPORTRANGE(""https://docs.google.com/spreadsheets/d/1QqKyyYR6Q21VydFLVH3TRQUabQu_ym0Zz7PgGX0-kHA/edit?usp=sharing"",""แผน!AF50"")"),24000)</f>
        <v>24000</v>
      </c>
      <c r="M200" s="864"/>
      <c r="N200" s="1064">
        <v>24000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IFERROR(__xludf.DUMMYFUNCTION("IMPORTRANGE(""https://docs.google.com/spreadsheets/d/1QqKyyYR6Q21VydFLVH3TRQUabQu_ym0Zz7PgGX0-kHA/edit?usp=sharing"",""แผน!AG50"")"),12000)</f>
        <v>12000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IFERROR(__xludf.DUMMYFUNCTION("IMPORTRANGE(""https://docs.google.com/spreadsheets/d/1QqKyyYR6Q21VydFLVH3TRQUabQu_ym0Zz7PgGX0-kHA/edit?usp=sharing"",""แผน!AH50"")"),0)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IFERROR(__xludf.DUMMYFUNCTION("IMPORTRANGE(""https://docs.google.com/spreadsheets/d/1QqKyyYR6Q21VydFLVH3TRQUabQu_ym0Zz7PgGX0-kHA/edit?usp=sharing"",""แผน!AI50"")"),3)</f>
        <v>3</v>
      </c>
      <c r="J204" s="992">
        <v>3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3</v>
      </c>
      <c r="J206" s="992">
        <v>3</v>
      </c>
      <c r="K206" s="978">
        <f t="shared" ref="K206:K208" si="100">IF(I206&gt;0,J206*100/I206,0)</f>
        <v>100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3</v>
      </c>
      <c r="J208" s="1057">
        <f t="shared" si="101"/>
        <v>3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42000</v>
      </c>
      <c r="M209" s="972"/>
      <c r="N209" s="972">
        <f>N210+N211+N212</f>
        <v>26680</v>
      </c>
      <c r="O209" s="972">
        <f ca="1">IF(L209&gt;0,N209*100/L209,0)</f>
        <v>63.523809523809526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IFERROR(__xludf.DUMMYFUNCTION("IMPORTRANGE(""https://docs.google.com/spreadsheets/d/1QqKyyYR6Q21VydFLVH3TRQUabQu_ym0Zz7PgGX0-kHA/edit?usp=sharing"",""แผน!AK50"")"),3000)</f>
        <v>3000</v>
      </c>
      <c r="M210" s="864"/>
      <c r="N210" s="1064">
        <v>2680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IFERROR(__xludf.DUMMYFUNCTION("IMPORTRANGE(""https://docs.google.com/spreadsheets/d/1QqKyyYR6Q21VydFLVH3TRQUabQu_ym0Zz7PgGX0-kHA/edit?usp=sharing"",""แผน!AL50"")"),15000)</f>
        <v>15000</v>
      </c>
      <c r="M211" s="864"/>
      <c r="N211" s="1064">
        <v>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IFERROR(__xludf.DUMMYFUNCTION("IMPORTRANGE(""https://docs.google.com/spreadsheets/d/1QqKyyYR6Q21VydFLVH3TRQUabQu_ym0Zz7PgGX0-kHA/edit?usp=sharing"",""แผน!AM50"")"),24000)</f>
        <v>24000</v>
      </c>
      <c r="M212" s="864"/>
      <c r="N212" s="1064">
        <v>24000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IFERROR(__xludf.DUMMYFUNCTION("IMPORTRANGE(""https://docs.google.com/spreadsheets/d/1QqKyyYR6Q21VydFLVH3TRQUabQu_ym0Zz7PgGX0-kHA/edit?usp=sharing"",""แผน!AN50"")"),3)</f>
        <v>3</v>
      </c>
      <c r="J214" s="992">
        <v>0</v>
      </c>
      <c r="K214" s="864">
        <f t="shared" ref="K214:K216" ca="1" si="102">IF(I214&gt;0,J214*100/I214,0)</f>
        <v>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IFERROR(__xludf.DUMMYFUNCTION("IMPORTRANGE(""https://docs.google.com/spreadsheets/d/1QqKyyYR6Q21VydFLVH3TRQUabQu_ym0Zz7PgGX0-kHA/edit?usp=sharing"",""แผน!AN50"")"),3)</f>
        <v>3</v>
      </c>
      <c r="J215" s="992">
        <v>3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10000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6500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IFERROR(__xludf.DUMMYFUNCTION("IMPORTRANGE(""https://docs.google.com/spreadsheets/d/1QqKyyYR6Q21VydFLVH3TRQUabQu_ym0Zz7PgGX0-kHA/edit?usp=sharing"",""แผน!AP50"")"),3000)</f>
        <v>3000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IFERROR(__xludf.DUMMYFUNCTION("IMPORTRANGE(""https://docs.google.com/spreadsheets/d/1QqKyyYR6Q21VydFLVH3TRQUabQu_ym0Zz7PgGX0-kHA/edit?usp=sharing"",""แผน!AQ50"")"),3500)</f>
        <v>3500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IFERROR(__xludf.DUMMYFUNCTION("IMPORTRANGE(""https://docs.google.com/spreadsheets/d/1QqKyyYR6Q21VydFLVH3TRQUabQu_ym0Zz7PgGX0-kHA/edit?usp=sharing"",""แผน!AR50"")"),0)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IFERROR(__xludf.DUMMYFUNCTION("IMPORTRANGE(""https://docs.google.com/spreadsheets/d/1QqKyyYR6Q21VydFLVH3TRQUabQu_ym0Zz7PgGX0-kHA/edit?usp=sharing"",""แผน!AT50"")"),10000)</f>
        <v>10000</v>
      </c>
      <c r="J223" s="992">
        <v>0</v>
      </c>
      <c r="K223" s="978">
        <f t="shared" ref="K223:K226" ca="1" si="104">IF(I223&gt;0,J223*100/I223,0)</f>
        <v>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IFERROR(__xludf.DUMMYFUNCTION("IMPORTRANGE(""https://docs.google.com/spreadsheets/d/1QqKyyYR6Q21VydFLVH3TRQUabQu_ym0Zz7PgGX0-kHA/edit?usp=sharing"",""แผน!AT50"")"),10000)</f>
        <v>10000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IFERROR(__xludf.DUMMYFUNCTION("IMPORTRANGE(""https://docs.google.com/spreadsheets/d/1QqKyyYR6Q21VydFLVH3TRQUabQu_ym0Zz7PgGX0-kHA/edit?usp=sharing"",""แผน!AS50"")"),0)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115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0</v>
      </c>
      <c r="J226" s="1073">
        <f t="shared" si="105"/>
        <v>0</v>
      </c>
      <c r="K226" s="1074">
        <f t="shared" ca="1" si="104"/>
        <v>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0</v>
      </c>
      <c r="M227" s="1082"/>
      <c r="N227" s="1082">
        <f t="shared" ref="N227:N231" si="107">N238+N249</f>
        <v>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0</v>
      </c>
      <c r="M228" s="870"/>
      <c r="N228" s="870">
        <f t="shared" si="107"/>
        <v>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0</v>
      </c>
      <c r="M229" s="870"/>
      <c r="N229" s="870">
        <f t="shared" si="107"/>
        <v>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0</v>
      </c>
      <c r="J233" s="869">
        <f t="shared" si="108"/>
        <v>0</v>
      </c>
      <c r="K233" s="870">
        <f ca="1">IF(I233&gt;0,J233*100/I233,0)</f>
        <v>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0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 hidden="1">
      <c r="A237" s="1044"/>
      <c r="B237" s="1051"/>
      <c r="C237" s="1056" t="s">
        <v>331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0</v>
      </c>
      <c r="J237" s="1057">
        <f t="shared" si="111"/>
        <v>0</v>
      </c>
      <c r="K237" s="1058">
        <f t="shared" ca="1" si="110"/>
        <v>0</v>
      </c>
      <c r="L237" s="1049"/>
      <c r="M237" s="1049"/>
      <c r="N237" s="1049"/>
      <c r="O237" s="1049"/>
      <c r="P237" s="1049"/>
    </row>
    <row r="238" spans="1:26" ht="19.5" hidden="1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0</v>
      </c>
      <c r="M238" s="972"/>
      <c r="N238" s="972">
        <f>N239+N240+N241+N242</f>
        <v>0</v>
      </c>
      <c r="O238" s="972">
        <f ca="1">IF(L238&gt;0,N238*100/L238,0)</f>
        <v>0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 hidden="1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IFERROR(__xludf.DUMMYFUNCTION("IMPORTRANGE(""https://docs.google.com/spreadsheets/d/1QqKyyYR6Q21VydFLVH3TRQUabQu_ym0Zz7PgGX0-kHA/edit?usp=sharing"",""แผน!AV50"")"),0)</f>
        <v>0</v>
      </c>
      <c r="M239" s="1103"/>
      <c r="N239" s="1104">
        <v>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 hidden="1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IFERROR(__xludf.DUMMYFUNCTION("IMPORTRANGE(""https://docs.google.com/spreadsheets/d/1QqKyyYR6Q21VydFLVH3TRQUabQu_ym0Zz7PgGX0-kHA/edit?usp=sharing"",""แผน!AW50"")"),0)</f>
        <v>0</v>
      </c>
      <c r="M240" s="1103"/>
      <c r="N240" s="1104">
        <v>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 hidden="1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IFERROR(__xludf.DUMMYFUNCTION("IMPORTRANGE(""https://docs.google.com/spreadsheets/d/1QqKyyYR6Q21VydFLVH3TRQUabQu_ym0Zz7PgGX0-kHA/edit?usp=sharing"",""แผน!AX50"")"),0)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 hidden="1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IFERROR(__xludf.DUMMYFUNCTION("IMPORTRANGE(""https://docs.google.com/spreadsheets/d/1QqKyyYR6Q21VydFLVH3TRQUabQu_ym0Zz7PgGX0-kHA/edit?usp=sharing"",""แผน!AY50"")"),0)</f>
        <v>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 hidden="1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 hidden="1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IFERROR(__xludf.DUMMYFUNCTION("IMPORTRANGE(""https://docs.google.com/spreadsheets/d/1QqKyyYR6Q21VydFLVH3TRQUabQu_ym0Zz7PgGX0-kHA/edit?usp=sharing"",""แผน!BE50"")"),0)</f>
        <v>0</v>
      </c>
      <c r="J244" s="992">
        <v>0</v>
      </c>
      <c r="K244" s="864">
        <f ca="1">IF(I244&gt;0,J244*100/I244,0)</f>
        <v>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 hidden="1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 hidden="1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/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 hidden="1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/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044"/>
      <c r="B248" s="1051"/>
      <c r="C248" s="1056" t="s">
        <v>332</v>
      </c>
      <c r="D248" s="1045"/>
      <c r="E248" s="1045"/>
      <c r="F248" s="1045"/>
      <c r="G248" s="1047"/>
      <c r="H248" s="260" t="s">
        <v>35</v>
      </c>
      <c r="I248" s="1057">
        <f t="shared" ref="I248:J248" ca="1" si="113">I255</f>
        <v>0</v>
      </c>
      <c r="J248" s="1057">
        <f t="shared" si="113"/>
        <v>0</v>
      </c>
      <c r="K248" s="1058">
        <f t="shared" ca="1" si="112"/>
        <v>0</v>
      </c>
      <c r="L248" s="1049"/>
      <c r="M248" s="1049"/>
      <c r="N248" s="1049"/>
      <c r="O248" s="1049"/>
      <c r="P248" s="1049"/>
    </row>
    <row r="249" spans="1:26" ht="19.5" hidden="1">
      <c r="A249" s="965"/>
      <c r="B249" s="966"/>
      <c r="C249" s="967" t="s">
        <v>16</v>
      </c>
      <c r="D249" s="1059" t="s">
        <v>17</v>
      </c>
      <c r="E249" s="966"/>
      <c r="F249" s="966"/>
      <c r="G249" s="969"/>
      <c r="H249" s="275" t="s">
        <v>12</v>
      </c>
      <c r="I249" s="1061"/>
      <c r="J249" s="1061"/>
      <c r="K249" s="1062"/>
      <c r="L249" s="972">
        <f ca="1">L250+L251+L252+L253</f>
        <v>0</v>
      </c>
      <c r="M249" s="972"/>
      <c r="N249" s="972">
        <f>N250+N251+N252+N253</f>
        <v>0</v>
      </c>
      <c r="O249" s="972">
        <f ca="1">IF(L249&gt;0,N249*100/L249,0)</f>
        <v>0</v>
      </c>
      <c r="P249" s="972">
        <f>IF(M249&gt;0,N249*100/M249,0)</f>
        <v>0</v>
      </c>
      <c r="Q249" s="851"/>
      <c r="R249" s="851"/>
      <c r="S249" s="851"/>
      <c r="T249" s="851"/>
      <c r="U249" s="851"/>
      <c r="V249" s="851"/>
      <c r="W249" s="851"/>
      <c r="X249" s="851"/>
      <c r="Y249" s="851"/>
      <c r="Z249" s="851"/>
    </row>
    <row r="250" spans="1:26" ht="18.75" hidden="1">
      <c r="A250" s="1096"/>
      <c r="B250" s="1097"/>
      <c r="C250" s="1098"/>
      <c r="D250" s="1099" t="s">
        <v>97</v>
      </c>
      <c r="E250" s="1098"/>
      <c r="F250" s="1098"/>
      <c r="G250" s="1100"/>
      <c r="H250" s="319" t="s">
        <v>12</v>
      </c>
      <c r="I250" s="1101"/>
      <c r="J250" s="1101"/>
      <c r="K250" s="1102"/>
      <c r="L250" s="1103">
        <f ca="1">IFERROR(__xludf.DUMMYFUNCTION("IMPORTRANGE(""https://docs.google.com/spreadsheets/d/1QqKyyYR6Q21VydFLVH3TRQUabQu_ym0Zz7PgGX0-kHA/edit?usp=sharing"",""แผน!AZ50"")"),0)</f>
        <v>0</v>
      </c>
      <c r="M250" s="1103"/>
      <c r="N250" s="1104">
        <v>0</v>
      </c>
      <c r="O250" s="1103"/>
      <c r="P250" s="1103"/>
      <c r="Q250" s="1105"/>
      <c r="R250" s="1105"/>
      <c r="S250" s="1105"/>
      <c r="T250" s="1105"/>
      <c r="U250" s="1105"/>
      <c r="V250" s="1105"/>
      <c r="W250" s="1105"/>
      <c r="X250" s="1105"/>
      <c r="Y250" s="1105"/>
      <c r="Z250" s="1105"/>
    </row>
    <row r="251" spans="1:26" ht="19.5" hidden="1">
      <c r="A251" s="1106"/>
      <c r="B251" s="1097"/>
      <c r="C251" s="1107"/>
      <c r="D251" s="1099" t="s">
        <v>98</v>
      </c>
      <c r="E251" s="1098"/>
      <c r="F251" s="1098"/>
      <c r="G251" s="1100"/>
      <c r="H251" s="319" t="s">
        <v>12</v>
      </c>
      <c r="I251" s="1108"/>
      <c r="J251" s="1108"/>
      <c r="K251" s="1103"/>
      <c r="L251" s="1103">
        <f ca="1">IFERROR(__xludf.DUMMYFUNCTION("IMPORTRANGE(""https://docs.google.com/spreadsheets/d/1QqKyyYR6Q21VydFLVH3TRQUabQu_ym0Zz7PgGX0-kHA/edit?usp=sharing"",""แผน!BA50"")"),0)</f>
        <v>0</v>
      </c>
      <c r="M251" s="1103"/>
      <c r="N251" s="1104">
        <v>0</v>
      </c>
      <c r="O251" s="1103"/>
      <c r="P251" s="1103"/>
      <c r="Q251" s="1109"/>
      <c r="R251" s="1109"/>
      <c r="S251" s="1109"/>
      <c r="T251" s="1109"/>
      <c r="U251" s="1109"/>
      <c r="V251" s="1109"/>
      <c r="W251" s="1109"/>
      <c r="X251" s="1109"/>
      <c r="Y251" s="1109"/>
      <c r="Z251" s="1109"/>
    </row>
    <row r="252" spans="1:26" ht="19.5" hidden="1">
      <c r="A252" s="1106"/>
      <c r="B252" s="1097"/>
      <c r="C252" s="1107"/>
      <c r="D252" s="1099" t="s">
        <v>116</v>
      </c>
      <c r="E252" s="1098"/>
      <c r="F252" s="1098"/>
      <c r="G252" s="1100"/>
      <c r="H252" s="319" t="s">
        <v>12</v>
      </c>
      <c r="I252" s="1108"/>
      <c r="J252" s="1108"/>
      <c r="K252" s="1103"/>
      <c r="L252" s="1103">
        <f ca="1">IFERROR(__xludf.DUMMYFUNCTION("IMPORTRANGE(""https://docs.google.com/spreadsheets/d/1QqKyyYR6Q21VydFLVH3TRQUabQu_ym0Zz7PgGX0-kHA/edit?usp=sharing"",""แผน!BB50"")"),0)</f>
        <v>0</v>
      </c>
      <c r="M252" s="1103"/>
      <c r="N252" s="1104">
        <v>0</v>
      </c>
      <c r="O252" s="1103"/>
      <c r="P252" s="1103"/>
      <c r="Q252" s="1109"/>
      <c r="R252" s="1109"/>
      <c r="S252" s="1109"/>
      <c r="T252" s="1109"/>
      <c r="U252" s="1109"/>
      <c r="V252" s="1109"/>
      <c r="W252" s="1109"/>
      <c r="X252" s="1109"/>
      <c r="Y252" s="1109"/>
      <c r="Z252" s="1109"/>
    </row>
    <row r="253" spans="1:26" ht="19.5" hidden="1">
      <c r="A253" s="1106"/>
      <c r="B253" s="1097"/>
      <c r="C253" s="1107"/>
      <c r="D253" s="1099" t="s">
        <v>100</v>
      </c>
      <c r="E253" s="1098"/>
      <c r="F253" s="1098"/>
      <c r="G253" s="1100"/>
      <c r="H253" s="319" t="s">
        <v>12</v>
      </c>
      <c r="I253" s="1108"/>
      <c r="J253" s="1108"/>
      <c r="K253" s="1103"/>
      <c r="L253" s="1103">
        <f ca="1">IFERROR(__xludf.DUMMYFUNCTION("IMPORTRANGE(""https://docs.google.com/spreadsheets/d/1QqKyyYR6Q21VydFLVH3TRQUabQu_ym0Zz7PgGX0-kHA/edit?usp=sharing"",""แผน!BC50"")"),0)</f>
        <v>0</v>
      </c>
      <c r="M253" s="1103"/>
      <c r="N253" s="1104">
        <v>0</v>
      </c>
      <c r="O253" s="1103"/>
      <c r="P253" s="1103"/>
      <c r="Q253" s="1109"/>
      <c r="R253" s="1109"/>
      <c r="S253" s="1109"/>
      <c r="T253" s="1109"/>
      <c r="U253" s="1109"/>
      <c r="V253" s="1109"/>
      <c r="W253" s="1109"/>
      <c r="X253" s="1109"/>
      <c r="Y253" s="1109"/>
      <c r="Z253" s="1109"/>
    </row>
    <row r="254" spans="1:26" ht="19.5" hidden="1">
      <c r="A254" s="982"/>
      <c r="B254" s="983"/>
      <c r="C254" s="1071" t="s">
        <v>16</v>
      </c>
      <c r="D254" s="984" t="s">
        <v>38</v>
      </c>
      <c r="E254" s="985"/>
      <c r="F254" s="985"/>
      <c r="G254" s="986"/>
      <c r="H254" s="987"/>
      <c r="I254" s="977"/>
      <c r="J254" s="863"/>
      <c r="K254" s="864"/>
      <c r="L254" s="864"/>
      <c r="M254" s="864"/>
      <c r="N254" s="864"/>
      <c r="O254" s="978"/>
      <c r="P254" s="978"/>
      <c r="Q254" s="851"/>
      <c r="R254" s="851"/>
      <c r="S254" s="851"/>
      <c r="T254" s="851"/>
      <c r="U254" s="851"/>
      <c r="V254" s="851"/>
      <c r="W254" s="851"/>
      <c r="X254" s="851"/>
      <c r="Y254" s="851"/>
      <c r="Z254" s="851"/>
    </row>
    <row r="255" spans="1:26" ht="18.75" hidden="1">
      <c r="A255" s="982"/>
      <c r="B255" s="983"/>
      <c r="C255" s="983"/>
      <c r="D255" s="989" t="s">
        <v>117</v>
      </c>
      <c r="E255" s="990"/>
      <c r="F255" s="990"/>
      <c r="G255" s="991"/>
      <c r="H255" s="757" t="s">
        <v>35</v>
      </c>
      <c r="I255" s="863">
        <f ca="1">IFERROR(__xludf.DUMMYFUNCTION("IMPORTRANGE(""https://docs.google.com/spreadsheets/d/1QqKyyYR6Q21VydFLVH3TRQUabQu_ym0Zz7PgGX0-kHA/edit?usp=sharing"",""แผน!BF50"")"),0)</f>
        <v>0</v>
      </c>
      <c r="J255" s="992">
        <v>0</v>
      </c>
      <c r="K255" s="864">
        <f ca="1">IF(I255&gt;0,J255*100/I255,0)</f>
        <v>0</v>
      </c>
      <c r="L255" s="864"/>
      <c r="M255" s="864"/>
      <c r="N255" s="864"/>
      <c r="O255" s="864"/>
      <c r="P255" s="864"/>
      <c r="Q255" s="851"/>
      <c r="R255" s="851"/>
      <c r="S255" s="851"/>
      <c r="T255" s="851"/>
      <c r="U255" s="851"/>
      <c r="V255" s="851"/>
      <c r="W255" s="851"/>
      <c r="X255" s="851"/>
      <c r="Y255" s="851"/>
      <c r="Z255" s="851"/>
    </row>
    <row r="256" spans="1:26" ht="18.75" hidden="1">
      <c r="A256" s="982"/>
      <c r="B256" s="983"/>
      <c r="C256" s="983"/>
      <c r="D256" s="1110" t="s">
        <v>43</v>
      </c>
      <c r="E256" s="990"/>
      <c r="F256" s="990"/>
      <c r="G256" s="991"/>
      <c r="H256" s="757"/>
      <c r="I256" s="863"/>
      <c r="J256" s="863"/>
      <c r="K256" s="864"/>
      <c r="L256" s="864"/>
      <c r="M256" s="864"/>
      <c r="N256" s="864"/>
      <c r="O256" s="978"/>
      <c r="P256" s="978"/>
      <c r="Q256" s="851"/>
      <c r="R256" s="851"/>
      <c r="S256" s="851"/>
      <c r="T256" s="851"/>
      <c r="U256" s="851"/>
      <c r="V256" s="851"/>
      <c r="W256" s="851"/>
      <c r="X256" s="851"/>
      <c r="Y256" s="851"/>
      <c r="Z256" s="851"/>
    </row>
    <row r="257" spans="1:26" ht="18.75" hidden="1">
      <c r="A257" s="982"/>
      <c r="B257" s="983"/>
      <c r="C257" s="983"/>
      <c r="D257" s="983"/>
      <c r="E257" s="988" t="s">
        <v>118</v>
      </c>
      <c r="F257" s="990"/>
      <c r="G257" s="991"/>
      <c r="H257" s="757" t="s">
        <v>35</v>
      </c>
      <c r="I257" s="863"/>
      <c r="J257" s="992">
        <v>0</v>
      </c>
      <c r="K257" s="864">
        <f t="shared" ref="K257:K258" si="114">IF(I257&gt;0,J257*100/I257,0)</f>
        <v>0</v>
      </c>
      <c r="L257" s="864"/>
      <c r="M257" s="864"/>
      <c r="N257" s="864"/>
      <c r="O257" s="864"/>
      <c r="P257" s="864"/>
      <c r="Q257" s="851"/>
      <c r="R257" s="851"/>
      <c r="S257" s="851"/>
      <c r="T257" s="851"/>
      <c r="U257" s="851"/>
      <c r="V257" s="851"/>
      <c r="W257" s="851"/>
      <c r="X257" s="851"/>
      <c r="Y257" s="851"/>
      <c r="Z257" s="851"/>
    </row>
    <row r="258" spans="1:26" ht="18.75" hidden="1">
      <c r="A258" s="982"/>
      <c r="B258" s="983"/>
      <c r="C258" s="983"/>
      <c r="D258" s="983"/>
      <c r="E258" s="988" t="s">
        <v>119</v>
      </c>
      <c r="F258" s="990"/>
      <c r="G258" s="991"/>
      <c r="H258" s="757" t="s">
        <v>66</v>
      </c>
      <c r="I258" s="863"/>
      <c r="J258" s="992">
        <v>0</v>
      </c>
      <c r="K258" s="864">
        <f t="shared" si="114"/>
        <v>0</v>
      </c>
      <c r="L258" s="864"/>
      <c r="M258" s="864"/>
      <c r="N258" s="864"/>
      <c r="O258" s="864"/>
      <c r="P258" s="864"/>
      <c r="Q258" s="851"/>
      <c r="R258" s="851"/>
      <c r="S258" s="851"/>
      <c r="T258" s="851"/>
      <c r="U258" s="851"/>
      <c r="V258" s="851"/>
      <c r="W258" s="851"/>
      <c r="X258" s="851"/>
      <c r="Y258" s="851"/>
      <c r="Z258" s="851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20</v>
      </c>
      <c r="J260" s="1041">
        <f t="shared" si="115"/>
        <v>20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25000</v>
      </c>
      <c r="M261" s="972">
        <f t="shared" ca="1" si="116"/>
        <v>22000</v>
      </c>
      <c r="N261" s="972">
        <f t="shared" ca="1" si="116"/>
        <v>17116</v>
      </c>
      <c r="O261" s="972">
        <f t="shared" ref="O261:O269" ca="1" si="117">IF(L261&gt;0,N261*100/L261,0)</f>
        <v>68.463999999999999</v>
      </c>
      <c r="P261" s="972">
        <f t="shared" ref="P261:P269" ca="1" si="118">IF(M261&gt;0,N261*100/M261,0)</f>
        <v>77.8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25000</v>
      </c>
      <c r="M263" s="870">
        <f t="shared" ca="1" si="119"/>
        <v>22000</v>
      </c>
      <c r="N263" s="870">
        <f t="shared" ca="1" si="119"/>
        <v>17116</v>
      </c>
      <c r="O263" s="870">
        <f t="shared" ca="1" si="117"/>
        <v>68.463999999999999</v>
      </c>
      <c r="P263" s="870">
        <f t="shared" ca="1" si="118"/>
        <v>77.8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25000</v>
      </c>
      <c r="M264" s="864">
        <f t="shared" ca="1" si="120"/>
        <v>22000</v>
      </c>
      <c r="N264" s="864">
        <f t="shared" ca="1" si="120"/>
        <v>17116</v>
      </c>
      <c r="O264" s="864">
        <f t="shared" ca="1" si="117"/>
        <v>68.463999999999999</v>
      </c>
      <c r="P264" s="864">
        <f t="shared" ca="1" si="118"/>
        <v>77.8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IFERROR(__xludf.DUMMYFUNCTION("IMPORTRANGE(""https://docs.google.com/spreadsheets/d/1MeEWN-I1oV_STSDYn1IFDPWt_1FKiwhDph83XaGc0o0/edit?usp=sharing"",""งบพรบ!CY50"")"),25000)</f>
        <v>25000</v>
      </c>
      <c r="M266" s="870">
        <f ca="1">IFERROR(__xludf.DUMMYFUNCTION("IMPORTRANGE(""https://docs.google.com/spreadsheets/d/1MeEWN-I1oV_STSDYn1IFDPWt_1FKiwhDph83XaGc0o0/edit?usp=sharing"",""งบพรบ!DD50"")"),22000)</f>
        <v>22000</v>
      </c>
      <c r="N266" s="870">
        <f ca="1">IFERROR(__xludf.DUMMYFUNCTION("IMPORTRANGE(""https://docs.google.com/spreadsheets/d/1MeEWN-I1oV_STSDYn1IFDPWt_1FKiwhDph83XaGc0o0/edit?usp=sharing"",""งบพรบ!DF50"")"),17116)</f>
        <v>17116</v>
      </c>
      <c r="O266" s="870">
        <f t="shared" ca="1" si="117"/>
        <v>68.463999999999999</v>
      </c>
      <c r="P266" s="870">
        <f t="shared" ca="1" si="118"/>
        <v>77.8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IFERROR(__xludf.DUMMYFUNCTION("IMPORTRANGE(""https://docs.google.com/spreadsheets/d/1MeEWN-I1oV_STSDYn1IFDPWt_1FKiwhDph83XaGc0o0/edit?usp=sharing"",""งบพรบ!DB50"")"),0)</f>
        <v>0</v>
      </c>
      <c r="M269" s="870">
        <f ca="1">IFERROR(__xludf.DUMMYFUNCTION("IMPORTRANGE(""https://docs.google.com/spreadsheets/d/1MeEWN-I1oV_STSDYn1IFDPWt_1FKiwhDph83XaGc0o0/edit?usp=sharing"",""งบพรบ!DE50"")"),0)</f>
        <v>0</v>
      </c>
      <c r="N269" s="870">
        <f ca="1">IFERROR(__xludf.DUMMYFUNCTION("IMPORTRANGE(""https://docs.google.com/spreadsheets/d/1MeEWN-I1oV_STSDYn1IFDPWt_1FKiwhDph83XaGc0o0/edit?usp=sharing"",""งบพรบ!DG50"")"),0)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IFERROR(__xludf.DUMMYFUNCTION("IMPORTRANGE(""https://docs.google.com/spreadsheets/d/1QqKyyYR6Q21VydFLVH3TRQUabQu_ym0Zz7PgGX0-kHA/edit?usp=sharing"",""แผน!EA50"")"),20)</f>
        <v>20</v>
      </c>
      <c r="J271" s="992">
        <v>20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50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500</v>
      </c>
      <c r="J276" s="1141">
        <f t="shared" si="124"/>
        <v>500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181410</v>
      </c>
      <c r="M277" s="972">
        <f t="shared" ca="1" si="125"/>
        <v>181410</v>
      </c>
      <c r="N277" s="972">
        <f t="shared" ca="1" si="125"/>
        <v>78912</v>
      </c>
      <c r="O277" s="972">
        <f t="shared" ref="O277:O285" ca="1" si="126">IF(L277&gt;0,N277*100/L277,0)</f>
        <v>43.49925582933686</v>
      </c>
      <c r="P277" s="972">
        <f t="shared" ref="P277:P285" ca="1" si="127">IF(M277&gt;0,N277*100/M277,0)</f>
        <v>43.49925582933686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181410</v>
      </c>
      <c r="M279" s="870">
        <f t="shared" ca="1" si="128"/>
        <v>181410</v>
      </c>
      <c r="N279" s="870">
        <f t="shared" ca="1" si="128"/>
        <v>78912</v>
      </c>
      <c r="O279" s="870">
        <f t="shared" ca="1" si="126"/>
        <v>43.49925582933686</v>
      </c>
      <c r="P279" s="870">
        <f t="shared" ca="1" si="127"/>
        <v>43.49925582933686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181410</v>
      </c>
      <c r="M280" s="864">
        <f t="shared" ca="1" si="129"/>
        <v>181410</v>
      </c>
      <c r="N280" s="864">
        <f t="shared" ca="1" si="129"/>
        <v>78912</v>
      </c>
      <c r="O280" s="864">
        <f t="shared" ca="1" si="126"/>
        <v>43.49925582933686</v>
      </c>
      <c r="P280" s="864">
        <f t="shared" ca="1" si="127"/>
        <v>43.49925582933686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IFERROR(__xludf.DUMMYFUNCTION("IMPORTRANGE(""https://docs.google.com/spreadsheets/d/1MeEWN-I1oV_STSDYn1IFDPWt_1FKiwhDph83XaGc0o0/edit?usp=sharing"",""งบพรบ!DI50"")"),181410)</f>
        <v>181410</v>
      </c>
      <c r="M282" s="870">
        <f ca="1">IFERROR(__xludf.DUMMYFUNCTION("IMPORTRANGE(""https://docs.google.com/spreadsheets/d/1MeEWN-I1oV_STSDYn1IFDPWt_1FKiwhDph83XaGc0o0/edit?usp=sharing"",""งบพรบ!DN50"")"),181410)</f>
        <v>181410</v>
      </c>
      <c r="N282" s="870">
        <f ca="1">IFERROR(__xludf.DUMMYFUNCTION("IMPORTRANGE(""https://docs.google.com/spreadsheets/d/1MeEWN-I1oV_STSDYn1IFDPWt_1FKiwhDph83XaGc0o0/edit?usp=sharing"",""งบพรบ!DP50"")"),78912)</f>
        <v>78912</v>
      </c>
      <c r="O282" s="870">
        <f t="shared" ca="1" si="126"/>
        <v>43.49925582933686</v>
      </c>
      <c r="P282" s="870">
        <f t="shared" ca="1" si="127"/>
        <v>43.49925582933686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IFERROR(__xludf.DUMMYFUNCTION("IMPORTRANGE(""https://docs.google.com/spreadsheets/d/1MeEWN-I1oV_STSDYn1IFDPWt_1FKiwhDph83XaGc0o0/edit?usp=sharing"",""งบพรบ!DL50"")"),0)</f>
        <v>0</v>
      </c>
      <c r="M285" s="870">
        <f ca="1">IFERROR(__xludf.DUMMYFUNCTION("IMPORTRANGE(""https://docs.google.com/spreadsheets/d/1MeEWN-I1oV_STSDYn1IFDPWt_1FKiwhDph83XaGc0o0/edit?usp=sharing"",""งบพรบ!DO50"")"),0)</f>
        <v>0</v>
      </c>
      <c r="N285" s="870">
        <f ca="1">IFERROR(__xludf.DUMMYFUNCTION("IMPORTRANGE(""https://docs.google.com/spreadsheets/d/1MeEWN-I1oV_STSDYn1IFDPWt_1FKiwhDph83XaGc0o0/edit?usp=sharing"",""งบพรบ!DQ50"")"),0)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IFERROR(__xludf.DUMMYFUNCTION("IMPORTRANGE(""https://docs.google.com/spreadsheets/d/1QqKyyYR6Q21VydFLVH3TRQUabQu_ym0Zz7PgGX0-kHA/edit?usp=sharing"",""แผน!EC50"")"),500)</f>
        <v>500</v>
      </c>
      <c r="J287" s="992">
        <v>500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IFERROR(__xludf.DUMMYFUNCTION("IMPORTRANGE(""https://docs.google.com/spreadsheets/d/1QqKyyYR6Q21VydFLVH3TRQUabQu_ym0Zz7PgGX0-kHA/edit?usp=sharing"",""แผน!EB50"")"),50)</f>
        <v>50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IFERROR(__xludf.DUMMYFUNCTION("IMPORTRANGE(""https://docs.google.com/spreadsheets/d/1QqKyyYR6Q21VydFLVH3TRQUabQu_ym0Zz7PgGX0-kHA/edit?usp=sharing"",""แผน!EB50"")"),50)</f>
        <v>50</v>
      </c>
      <c r="J290" s="992">
        <v>50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IFERROR(__xludf.DUMMYFUNCTION("IMPORTRANGE(""https://docs.google.com/spreadsheets/d/1QqKyyYR6Q21VydFLVH3TRQUabQu_ym0Zz7PgGX0-kHA/edit?usp=sharing"",""แผน!EB50"")"),50)</f>
        <v>50</v>
      </c>
      <c r="J291" s="992">
        <v>50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IFERROR(__xludf.DUMMYFUNCTION("IMPORTRANGE(""https://docs.google.com/spreadsheets/d/1QqKyyYR6Q21VydFLVH3TRQUabQu_ym0Zz7PgGX0-kHA/edit?usp=sharing"",""แผน!EB50"")"),50)</f>
        <v>50</v>
      </c>
      <c r="J293" s="992">
        <v>50</v>
      </c>
      <c r="K293" s="978">
        <f t="shared" ref="K293:K294" ca="1" si="133">IF(I293&gt;0,J293*100/I293,0)</f>
        <v>100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IFERROR(__xludf.DUMMYFUNCTION("IMPORTRANGE(""https://docs.google.com/spreadsheets/d/1QqKyyYR6Q21VydFLVH3TRQUabQu_ym0Zz7PgGX0-kHA/edit?usp=sharing"",""แผน!EB50"")"),50)</f>
        <v>50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82400</v>
      </c>
      <c r="M298" s="972">
        <f t="shared" ca="1" si="135"/>
        <v>64400</v>
      </c>
      <c r="N298" s="972">
        <f t="shared" ca="1" si="135"/>
        <v>48112</v>
      </c>
      <c r="O298" s="972">
        <f t="shared" ref="O298:O306" ca="1" si="136">IF(L298&gt;0,N298*100/L298,0)</f>
        <v>58.38834951456311</v>
      </c>
      <c r="P298" s="972">
        <f t="shared" ref="P298:P306" ca="1" si="137">IF(M298&gt;0,N298*100/M298,0)</f>
        <v>74.708074534161497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82400</v>
      </c>
      <c r="M300" s="870">
        <f t="shared" ca="1" si="138"/>
        <v>64400</v>
      </c>
      <c r="N300" s="870">
        <f t="shared" ca="1" si="138"/>
        <v>48112</v>
      </c>
      <c r="O300" s="870">
        <f t="shared" ca="1" si="136"/>
        <v>58.38834951456311</v>
      </c>
      <c r="P300" s="870">
        <f t="shared" ca="1" si="137"/>
        <v>74.708074534161497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82400</v>
      </c>
      <c r="M301" s="864">
        <f t="shared" ca="1" si="139"/>
        <v>64400</v>
      </c>
      <c r="N301" s="864">
        <f t="shared" ca="1" si="139"/>
        <v>48112</v>
      </c>
      <c r="O301" s="864">
        <f t="shared" ca="1" si="136"/>
        <v>58.38834951456311</v>
      </c>
      <c r="P301" s="864">
        <f t="shared" ca="1" si="137"/>
        <v>74.708074534161497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IFERROR(__xludf.DUMMYFUNCTION("IMPORTRANGE(""https://docs.google.com/spreadsheets/d/1MeEWN-I1oV_STSDYn1IFDPWt_1FKiwhDph83XaGc0o0/edit?usp=sharing"",""งบพรบ!DS50"")"),82400)</f>
        <v>82400</v>
      </c>
      <c r="M303" s="870">
        <f ca="1">IFERROR(__xludf.DUMMYFUNCTION("IMPORTRANGE(""https://docs.google.com/spreadsheets/d/1MeEWN-I1oV_STSDYn1IFDPWt_1FKiwhDph83XaGc0o0/edit?usp=sharing"",""งบพรบ!DX50"")"),64400)</f>
        <v>64400</v>
      </c>
      <c r="N303" s="870">
        <f ca="1">IFERROR(__xludf.DUMMYFUNCTION("IMPORTRANGE(""https://docs.google.com/spreadsheets/d/1MeEWN-I1oV_STSDYn1IFDPWt_1FKiwhDph83XaGc0o0/edit?usp=sharing"",""งบพรบ!DZ50"")"),48112)</f>
        <v>48112</v>
      </c>
      <c r="O303" s="870">
        <f t="shared" ca="1" si="136"/>
        <v>58.38834951456311</v>
      </c>
      <c r="P303" s="870">
        <f t="shared" ca="1" si="137"/>
        <v>74.708074534161497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IFERROR(__xludf.DUMMYFUNCTION("IMPORTRANGE(""https://docs.google.com/spreadsheets/d/1MeEWN-I1oV_STSDYn1IFDPWt_1FKiwhDph83XaGc0o0/edit?usp=sharing"",""งบพรบ!DV50"")"),0)</f>
        <v>0</v>
      </c>
      <c r="M306" s="870">
        <f ca="1">IFERROR(__xludf.DUMMYFUNCTION("IMPORTRANGE(""https://docs.google.com/spreadsheets/d/1MeEWN-I1oV_STSDYn1IFDPWt_1FKiwhDph83XaGc0o0/edit?usp=sharing"",""งบพรบ!DY50"")"),0)</f>
        <v>0</v>
      </c>
      <c r="N306" s="870">
        <f ca="1">IFERROR(__xludf.DUMMYFUNCTION("IMPORTRANGE(""https://docs.google.com/spreadsheets/d/1MeEWN-I1oV_STSDYn1IFDPWt_1FKiwhDph83XaGc0o0/edit?usp=sharing"",""งบพรบ!EA50"")"),0)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IFERROR(__xludf.DUMMYFUNCTION("IMPORTRANGE(""https://docs.google.com/spreadsheets/d/1QqKyyYR6Q21VydFLVH3TRQUabQu_ym0Zz7PgGX0-kHA/edit?usp=sharing"",""แผน!ED50"")"),20)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IFERROR(__xludf.DUMMYFUNCTION("IMPORTRANGE(""https://docs.google.com/spreadsheets/d/1QqKyyYR6Q21VydFLVH3TRQUabQu_ym0Zz7PgGX0-kHA/edit?usp=sharing"",""แผน!ED50"")"),20)</f>
        <v>20</v>
      </c>
      <c r="J310" s="992">
        <v>20</v>
      </c>
      <c r="K310" s="864">
        <f t="shared" ca="1" si="141"/>
        <v>100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IFERROR(__xludf.DUMMYFUNCTION("IMPORTRANGE(""https://docs.google.com/spreadsheets/d/1QqKyyYR6Q21VydFLVH3TRQUabQu_ym0Zz7PgGX0-kHA/edit?usp=sharing"",""แผน!ED50"")"),20)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IFERROR(__xludf.DUMMYFUNCTION("IMPORTRANGE(""https://docs.google.com/spreadsheets/d/1QqKyyYR6Q21VydFLVH3TRQUabQu_ym0Zz7PgGX0-kHA/edit?usp=sharing"",""แผน!EE50"")"),4)</f>
        <v>4</v>
      </c>
      <c r="J312" s="992">
        <v>4</v>
      </c>
      <c r="K312" s="864">
        <f t="shared" ca="1" si="141"/>
        <v>100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IFERROR(__xludf.DUMMYFUNCTION("IMPORTRANGE(""https://docs.google.com/spreadsheets/d/1MeEWN-I1oV_STSDYn1IFDPWt_1FKiwhDph83XaGc0o0/edit?usp=sharing"",""งบพรบ!EC50"")"),0)</f>
        <v>0</v>
      </c>
      <c r="M320" s="870">
        <f ca="1">IFERROR(__xludf.DUMMYFUNCTION("IMPORTRANGE(""https://docs.google.com/spreadsheets/d/1MeEWN-I1oV_STSDYn1IFDPWt_1FKiwhDph83XaGc0o0/edit?usp=sharing"",""งบพรบ!EH50"")"),0)</f>
        <v>0</v>
      </c>
      <c r="N320" s="870">
        <f ca="1">IFERROR(__xludf.DUMMYFUNCTION("IMPORTRANGE(""https://docs.google.com/spreadsheets/d/1MeEWN-I1oV_STSDYn1IFDPWt_1FKiwhDph83XaGc0o0/edit?usp=sharing"",""งบพรบ!EJ50"")"),0)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IFERROR(__xludf.DUMMYFUNCTION("IMPORTRANGE(""https://docs.google.com/spreadsheets/d/1MeEWN-I1oV_STSDYn1IFDPWt_1FKiwhDph83XaGc0o0/edit?usp=sharing"",""งบพรบ!EF50"")"),0)</f>
        <v>0</v>
      </c>
      <c r="M323" s="870">
        <f ca="1">IFERROR(__xludf.DUMMYFUNCTION("IMPORTRANGE(""https://docs.google.com/spreadsheets/d/1MeEWN-I1oV_STSDYn1IFDPWt_1FKiwhDph83XaGc0o0/edit?usp=sharing"",""งบพรบ!EI50"")"),0)</f>
        <v>0</v>
      </c>
      <c r="N323" s="870">
        <f ca="1">IFERROR(__xludf.DUMMYFUNCTION("IMPORTRANGE(""https://docs.google.com/spreadsheets/d/1MeEWN-I1oV_STSDYn1IFDPWt_1FKiwhDph83XaGc0o0/edit?usp=sharing"",""งบพรบ!EK50"")"),0)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IFERROR(__xludf.DUMMYFUNCTION("IMPORTRANGE(""https://docs.google.com/spreadsheets/d/1QqKyyYR6Q21VydFLVH3TRQUabQu_ym0Zz7PgGX0-kHA/edit?usp=sharing"",""แผน!EF50"")"),0)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IFERROR(__xludf.DUMMYFUNCTION("IMPORTRANGE(""https://docs.google.com/spreadsheets/d/1QqKyyYR6Q21VydFLVH3TRQUabQu_ym0Zz7PgGX0-kHA/edit?usp=sharing"",""แผน!EG50"")"),8800)</f>
        <v>8800</v>
      </c>
      <c r="J327" s="1170">
        <f ca="1">J338+J341+J342+J343</f>
        <v>9848</v>
      </c>
      <c r="K327" s="1171">
        <f ca="1">IF(I327&gt;0,J327*100/I327,0)</f>
        <v>111.90909090909091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192000</v>
      </c>
      <c r="M328" s="972">
        <f t="shared" ca="1" si="149"/>
        <v>146500</v>
      </c>
      <c r="N328" s="972">
        <f t="shared" ca="1" si="149"/>
        <v>67990</v>
      </c>
      <c r="O328" s="972">
        <f t="shared" ref="O328:O336" ca="1" si="150">IF(L328&gt;0,N328*100/L328,0)</f>
        <v>35.411458333333336</v>
      </c>
      <c r="P328" s="972">
        <f t="shared" ref="P328:P336" ca="1" si="151">IF(M328&gt;0,N328*100/M328,0)</f>
        <v>46.409556313993171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192000</v>
      </c>
      <c r="M330" s="870">
        <f t="shared" ca="1" si="152"/>
        <v>146500</v>
      </c>
      <c r="N330" s="870">
        <f t="shared" ca="1" si="152"/>
        <v>67990</v>
      </c>
      <c r="O330" s="870">
        <f t="shared" ca="1" si="150"/>
        <v>35.411458333333336</v>
      </c>
      <c r="P330" s="870">
        <f t="shared" ca="1" si="151"/>
        <v>46.409556313993171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192000</v>
      </c>
      <c r="M331" s="864">
        <f t="shared" ca="1" si="153"/>
        <v>146500</v>
      </c>
      <c r="N331" s="864">
        <f t="shared" ca="1" si="153"/>
        <v>67990</v>
      </c>
      <c r="O331" s="864">
        <f t="shared" ca="1" si="150"/>
        <v>35.411458333333336</v>
      </c>
      <c r="P331" s="864">
        <f t="shared" ca="1" si="151"/>
        <v>46.409556313993171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IFERROR(__xludf.DUMMYFUNCTION("IMPORTRANGE(""https://docs.google.com/spreadsheets/d/1MeEWN-I1oV_STSDYn1IFDPWt_1FKiwhDph83XaGc0o0/edit?usp=sharing"",""งบพรบ!EM50"")"),192000)</f>
        <v>192000</v>
      </c>
      <c r="M333" s="870">
        <f ca="1">IFERROR(__xludf.DUMMYFUNCTION("IMPORTRANGE(""https://docs.google.com/spreadsheets/d/1MeEWN-I1oV_STSDYn1IFDPWt_1FKiwhDph83XaGc0o0/edit?usp=sharing"",""งบพรบ!ER50"")"),146500)</f>
        <v>146500</v>
      </c>
      <c r="N333" s="870">
        <f ca="1">IFERROR(__xludf.DUMMYFUNCTION("IMPORTRANGE(""https://docs.google.com/spreadsheets/d/1MeEWN-I1oV_STSDYn1IFDPWt_1FKiwhDph83XaGc0o0/edit?usp=sharing"",""งบพรบ!ET50"")"),67990)</f>
        <v>67990</v>
      </c>
      <c r="O333" s="870">
        <f t="shared" ca="1" si="150"/>
        <v>35.411458333333336</v>
      </c>
      <c r="P333" s="870">
        <f t="shared" ca="1" si="151"/>
        <v>46.409556313993171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IFERROR(__xludf.DUMMYFUNCTION("IMPORTRANGE(""https://docs.google.com/spreadsheets/d/1MeEWN-I1oV_STSDYn1IFDPWt_1FKiwhDph83XaGc0o0/edit?usp=sharing"",""งบพรบ!EP50"")"),0)</f>
        <v>0</v>
      </c>
      <c r="M336" s="870">
        <f ca="1">IFERROR(__xludf.DUMMYFUNCTION("IMPORTRANGE(""https://docs.google.com/spreadsheets/d/1MeEWN-I1oV_STSDYn1IFDPWt_1FKiwhDph83XaGc0o0/edit?usp=sharing"",""งบพรบ!ES50"")"),0)</f>
        <v>0</v>
      </c>
      <c r="N336" s="870">
        <f ca="1">IFERROR(__xludf.DUMMYFUNCTION("IMPORTRANGE(""https://docs.google.com/spreadsheets/d/1MeEWN-I1oV_STSDYn1IFDPWt_1FKiwhDph83XaGc0o0/edit?usp=sharing"",""งบพรบ!EU50"")"),0)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IFERROR(__xludf.DUMMYFUNCTION("IMPORTRANGE(""https://docs.google.com/spreadsheets/d/1QqKyyYR6Q21VydFLVH3TRQUabQu_ym0Zz7PgGX0-kHA/edit?usp=sharing"",""แผน!EG50"")"),8800)</f>
        <v>8800</v>
      </c>
      <c r="J338" s="863">
        <f ca="1">IFERROR(__xludf.DUMMYFUNCTION("IMPORTRANGE(""https://docs.google.com/spreadsheets/d/1kVcqe37tkHyjCSG3S0O1AXqVkqjo8mSIZil3BcpIysc/edit?usp=sharing"",""ศูนย์!D50"")"),9692)</f>
        <v>9692</v>
      </c>
      <c r="K338" s="864">
        <f ca="1">IF(I338&gt;0,J338*100/I338,0)</f>
        <v>110.13636363636364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IFERROR(__xludf.DUMMYFUNCTION("IMPORTRANGE(""https://docs.google.com/spreadsheets/d/1QqKyyYR6Q21VydFLVH3TRQUabQu_ym0Zz7PgGX0-kHA/edit?usp=sharing"",""แผน!EH50"")"),12)</f>
        <v>12</v>
      </c>
      <c r="J340" s="863">
        <f ca="1">IFERROR(__xludf.DUMMYFUNCTION("IMPORTRANGE(""https://docs.google.com/spreadsheets/d/1kVcqe37tkHyjCSG3S0O1AXqVkqjo8mSIZil3BcpIysc/edit?usp=sharing"",""ศูนย์!E50"")"),3)</f>
        <v>3</v>
      </c>
      <c r="K340" s="864">
        <f ca="1">IF(I340&gt;0,J340*100/I340,0)</f>
        <v>25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IFERROR(__xludf.DUMMYFUNCTION("IMPORTRANGE(""https://docs.google.com/spreadsheets/d/1kVcqe37tkHyjCSG3S0O1AXqVkqjo8mSIZil3BcpIysc/edit?usp=sharing"",""ศูนย์!F50"")"),156)</f>
        <v>156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IFERROR(__xludf.DUMMYFUNCTION("IMPORTRANGE(""https://docs.google.com/spreadsheets/d/1kVcqe37tkHyjCSG3S0O1AXqVkqjo8mSIZil3BcpIysc/edit?usp=sharing"",""ศูนย์!G50"")"),0)</f>
        <v>0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IFERROR(__xludf.DUMMYFUNCTION("IMPORTRANGE(""https://docs.google.com/spreadsheets/d/1kVcqe37tkHyjCSG3S0O1AXqVkqjo8mSIZil3BcpIysc/edit?usp=sharing"",""ศูนย์!H50"")"),0)</f>
        <v>0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2655720</v>
      </c>
      <c r="M345" s="972">
        <f t="shared" ca="1" si="155"/>
        <v>2181022</v>
      </c>
      <c r="N345" s="972">
        <f t="shared" ca="1" si="155"/>
        <v>1503621.14</v>
      </c>
      <c r="O345" s="972">
        <f t="shared" ref="O345:O353" ca="1" si="156">IF(L345&gt;0,N345*100/L345,0)</f>
        <v>56.618210504119411</v>
      </c>
      <c r="P345" s="972">
        <f t="shared" ref="P345:P353" ca="1" si="157">IF(M345&gt;0,N345*100/M345,0)</f>
        <v>68.941126682811998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2655720</v>
      </c>
      <c r="M347" s="870">
        <f t="shared" ca="1" si="158"/>
        <v>2181022</v>
      </c>
      <c r="N347" s="870">
        <f t="shared" ca="1" si="158"/>
        <v>1503621.14</v>
      </c>
      <c r="O347" s="870">
        <f t="shared" ca="1" si="156"/>
        <v>56.618210504119411</v>
      </c>
      <c r="P347" s="870">
        <f t="shared" ca="1" si="157"/>
        <v>68.941126682811998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2482320</v>
      </c>
      <c r="M348" s="864">
        <f t="shared" ca="1" si="159"/>
        <v>2007622</v>
      </c>
      <c r="N348" s="864">
        <f t="shared" ca="1" si="159"/>
        <v>1330221.1399999999</v>
      </c>
      <c r="O348" s="864">
        <f t="shared" ca="1" si="156"/>
        <v>53.587818653517672</v>
      </c>
      <c r="P348" s="864">
        <f t="shared" ca="1" si="157"/>
        <v>66.258545682404346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IFERROR(__xludf.DUMMYFUNCTION("IMPORTRANGE(""https://docs.google.com/spreadsheets/d/1MeEWN-I1oV_STSDYn1IFDPWt_1FKiwhDph83XaGc0o0/edit?usp=sharing"",""งบพรบ!EW50"")"),2482320)</f>
        <v>2482320</v>
      </c>
      <c r="M350" s="870">
        <f ca="1">IFERROR(__xludf.DUMMYFUNCTION("IMPORTRANGE(""https://docs.google.com/spreadsheets/d/1MeEWN-I1oV_STSDYn1IFDPWt_1FKiwhDph83XaGc0o0/edit?usp=sharing"",""งบพรบ!FB50"")"),2007622)</f>
        <v>2007622</v>
      </c>
      <c r="N350" s="870">
        <f ca="1">IFERROR(__xludf.DUMMYFUNCTION("IMPORTRANGE(""https://docs.google.com/spreadsheets/d/1MeEWN-I1oV_STSDYn1IFDPWt_1FKiwhDph83XaGc0o0/edit?usp=sharing"",""งบพรบ!FD50"")"),1330221.14)</f>
        <v>1330221.1399999999</v>
      </c>
      <c r="O350" s="870">
        <f t="shared" ca="1" si="156"/>
        <v>53.587818653517672</v>
      </c>
      <c r="P350" s="870">
        <f t="shared" ca="1" si="157"/>
        <v>66.258545682404346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173400</v>
      </c>
      <c r="M351" s="864">
        <f t="shared" ca="1" si="160"/>
        <v>173400</v>
      </c>
      <c r="N351" s="864">
        <f t="shared" ca="1" si="160"/>
        <v>173400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IFERROR(__xludf.DUMMYFUNCTION("IMPORTRANGE(""https://docs.google.com/spreadsheets/d/1MeEWN-I1oV_STSDYn1IFDPWt_1FKiwhDph83XaGc0o0/edit?usp=sharing"",""งบพรบ!EZ50"")"),173400)</f>
        <v>173400</v>
      </c>
      <c r="M353" s="870">
        <f ca="1">IFERROR(__xludf.DUMMYFUNCTION("IMPORTRANGE(""https://docs.google.com/spreadsheets/d/1MeEWN-I1oV_STSDYn1IFDPWt_1FKiwhDph83XaGc0o0/edit?usp=sharing"",""งบพรบ!FC50"")"),173400)</f>
        <v>173400</v>
      </c>
      <c r="N353" s="870">
        <f ca="1">IFERROR(__xludf.DUMMYFUNCTION("IMPORTRANGE(""https://docs.google.com/spreadsheets/d/1MeEWN-I1oV_STSDYn1IFDPWt_1FKiwhDph83XaGc0o0/edit?usp=sharing"",""งบพรบ!FE50"")"),173400)</f>
        <v>173400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IFERROR(__xludf.DUMMYFUNCTION("IMPORTRANGE(""https://docs.google.com/spreadsheets/d/1QqKyyYR6Q21VydFLVH3TRQUabQu_ym0Zz7PgGX0-kHA/edit?usp=sharing"",""แผน!EP50"")"),2150)</f>
        <v>2150</v>
      </c>
      <c r="J355" s="1186">
        <f ca="1">J362</f>
        <v>320</v>
      </c>
      <c r="K355" s="1187">
        <f ca="1">IF(I355&gt;0,J355*100/I355,0)</f>
        <v>14.883720930232558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IFERROR(__xludf.DUMMYFUNCTION("IMPORTRANGE(""https://docs.google.com/spreadsheets/d/1XWAQStnk-4SwqDmLtmXYiTMKHgktTP8We1SCoS47DrQ/edit?usp=sharing"",""จัดที่ดิน!W50"")"),794)</f>
        <v>794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IFERROR(__xludf.DUMMYFUNCTION("IMPORTRANGE(""https://docs.google.com/spreadsheets/d/1QqKyyYR6Q21VydFLVH3TRQUabQu_ym0Zz7PgGX0-kHA/edit?usp=sharing"",""แผน!EO50"")"),21000)</f>
        <v>21000</v>
      </c>
      <c r="J359" s="863">
        <f ca="1">IFERROR(__xludf.DUMMYFUNCTION("IMPORTRANGE(""https://docs.google.com/spreadsheets/d/1XWAQStnk-4SwqDmLtmXYiTMKHgktTP8We1SCoS47DrQ/edit?usp=sharing"",""จัดที่ดิน!X50"")"),8186.01999999999)</f>
        <v>8186.0199999999904</v>
      </c>
      <c r="K359" s="864">
        <f t="shared" ca="1" si="161"/>
        <v>38.981047619047573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IFERROR(__xludf.DUMMYFUNCTION("IMPORTRANGE(""https://docs.google.com/spreadsheets/d/1QqKyyYR6Q21VydFLVH3TRQUabQu_ym0Zz7PgGX0-kHA/edit?usp=sharing"",""แผน!EP50"")"),2150)</f>
        <v>2150</v>
      </c>
      <c r="J360" s="863">
        <f ca="1">IFERROR(__xludf.DUMMYFUNCTION("IMPORTRANGE(""https://docs.google.com/spreadsheets/d/1XWAQStnk-4SwqDmLtmXYiTMKHgktTP8We1SCoS47DrQ/edit?usp=sharing"",""จัดที่ดิน!Y50"")"),760)</f>
        <v>760</v>
      </c>
      <c r="K360" s="864">
        <f t="shared" ca="1" si="161"/>
        <v>35.348837209302324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IFERROR(__xludf.DUMMYFUNCTION("IMPORTRANGE(""https://docs.google.com/spreadsheets/d/1XWAQStnk-4SwqDmLtmXYiTMKHgktTP8We1SCoS47DrQ/edit?usp=sharing"",""จัดที่ดิน!Z50"")"),9132.35)</f>
        <v>9132.35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IFERROR(__xludf.DUMMYFUNCTION("IMPORTRANGE(""https://docs.google.com/spreadsheets/d/1QqKyyYR6Q21VydFLVH3TRQUabQu_ym0Zz7PgGX0-kHA/edit?usp=sharing"",""แผน!EP50"")"),2150)</f>
        <v>2150</v>
      </c>
      <c r="J362" s="863">
        <f ca="1">IFERROR(__xludf.DUMMYFUNCTION("IMPORTRANGE(""https://docs.google.com/spreadsheets/d/1XWAQStnk-4SwqDmLtmXYiTMKHgktTP8We1SCoS47DrQ/edit?usp=sharing"",""จัดที่ดิน!AA50"")"),320)</f>
        <v>320</v>
      </c>
      <c r="K362" s="864">
        <f t="shared" ca="1" si="161"/>
        <v>14.883720930232558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IFERROR(__xludf.DUMMYFUNCTION("IMPORTRANGE(""https://docs.google.com/spreadsheets/d/1XWAQStnk-4SwqDmLtmXYiTMKHgktTP8We1SCoS47DrQ/edit?usp=sharing"",""จัดที่ดิน!AB50"")"),3437.05)</f>
        <v>3437.05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2150</v>
      </c>
      <c r="J364" s="1199">
        <f t="shared" ca="1" si="162"/>
        <v>627</v>
      </c>
      <c r="K364" s="1200">
        <f t="shared" ca="1" si="161"/>
        <v>29.162790697674417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IFERROR(__xludf.DUMMYFUNCTION("IMPORTRANGE(""https://docs.google.com/spreadsheets/d/1QqKyyYR6Q21VydFLVH3TRQUabQu_ym0Zz7PgGX0-kHA/edit?usp=sharing"",""แผน!EJ50"")"),400)</f>
        <v>400</v>
      </c>
      <c r="J365" s="1207">
        <f ca="1">J372</f>
        <v>111</v>
      </c>
      <c r="K365" s="1208">
        <f t="shared" ca="1" si="161"/>
        <v>27.75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IFERROR(__xludf.DUMMYFUNCTION("IMPORTRANGE(""https://docs.google.com/spreadsheets/d/1XWAQStnk-4SwqDmLtmXYiTMKHgktTP8We1SCoS47DrQ/edit?usp=sharing"",""จัดที่ดิน!E50"")"),321)</f>
        <v>321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IFERROR(__xludf.DUMMYFUNCTION("IMPORTRANGE(""https://docs.google.com/spreadsheets/d/1QqKyyYR6Q21VydFLVH3TRQUabQu_ym0Zz7PgGX0-kHA/edit?usp=sharing"",""แผน!EI50"")"),6000)</f>
        <v>6000</v>
      </c>
      <c r="J369" s="863">
        <f ca="1">IFERROR(__xludf.DUMMYFUNCTION("IMPORTRANGE(""https://docs.google.com/spreadsheets/d/1XWAQStnk-4SwqDmLtmXYiTMKHgktTP8We1SCoS47DrQ/edit?usp=sharing"",""จัดที่ดิน!F50"")"),3576.2)</f>
        <v>3576.2</v>
      </c>
      <c r="K369" s="864">
        <f t="shared" ca="1" si="163"/>
        <v>59.603333333333332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IFERROR(__xludf.DUMMYFUNCTION("IMPORTRANGE(""https://docs.google.com/spreadsheets/d/1QqKyyYR6Q21VydFLVH3TRQUabQu_ym0Zz7PgGX0-kHA/edit?usp=sharing"",""แผน!EJ50"")"),400)</f>
        <v>400</v>
      </c>
      <c r="J370" s="863">
        <f ca="1">IFERROR(__xludf.DUMMYFUNCTION("IMPORTRANGE(""https://docs.google.com/spreadsheets/d/1XWAQStnk-4SwqDmLtmXYiTMKHgktTP8We1SCoS47DrQ/edit?usp=sharing"",""จัดที่ดิน!G50"")"),215)</f>
        <v>215</v>
      </c>
      <c r="K370" s="864">
        <f t="shared" ca="1" si="163"/>
        <v>53.75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IFERROR(__xludf.DUMMYFUNCTION("IMPORTRANGE(""https://docs.google.com/spreadsheets/d/1XWAQStnk-4SwqDmLtmXYiTMKHgktTP8We1SCoS47DrQ/edit?usp=sharing"",""จัดที่ดิน!H50"")"),2678.68)</f>
        <v>2678.68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IFERROR(__xludf.DUMMYFUNCTION("IMPORTRANGE(""https://docs.google.com/spreadsheets/d/1QqKyyYR6Q21VydFLVH3TRQUabQu_ym0Zz7PgGX0-kHA/edit?usp=sharing"",""แผน!EJ50"")"),400)</f>
        <v>400</v>
      </c>
      <c r="J372" s="863">
        <f ca="1">IFERROR(__xludf.DUMMYFUNCTION("IMPORTRANGE(""https://docs.google.com/spreadsheets/d/1XWAQStnk-4SwqDmLtmXYiTMKHgktTP8We1SCoS47DrQ/edit?usp=sharing"",""จัดที่ดิน!I50"")"),111)</f>
        <v>111</v>
      </c>
      <c r="K372" s="864">
        <f t="shared" ca="1" si="163"/>
        <v>27.75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IFERROR(__xludf.DUMMYFUNCTION("IMPORTRANGE(""https://docs.google.com/spreadsheets/d/1XWAQStnk-4SwqDmLtmXYiTMKHgktTP8We1SCoS47DrQ/edit?usp=sharing"",""จัดที่ดิน!J50"")"),1519.73)</f>
        <v>1519.73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IFERROR(__xludf.DUMMYFUNCTION("IMPORTRANGE(""https://docs.google.com/spreadsheets/d/1QqKyyYR6Q21VydFLVH3TRQUabQu_ym0Zz7PgGX0-kHA/edit?usp=sharing"",""แผน!EU50"")"),1750)</f>
        <v>1750</v>
      </c>
      <c r="J374" s="1207">
        <f ca="1">J381</f>
        <v>516</v>
      </c>
      <c r="K374" s="1208">
        <f t="shared" ca="1" si="163"/>
        <v>29.485714285714284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IFERROR(__xludf.DUMMYFUNCTION("IMPORTRANGE(""https://docs.google.com/spreadsheets/d/1XWAQStnk-4SwqDmLtmXYiTMKHgktTP8We1SCoS47DrQ/edit?usp=sharing"",""จัดที่ดิน!AH50"")"),473)</f>
        <v>473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IFERROR(__xludf.DUMMYFUNCTION("IMPORTRANGE(""https://docs.google.com/spreadsheets/d/1QqKyyYR6Q21VydFLVH3TRQUabQu_ym0Zz7PgGX0-kHA/edit?usp=sharing"",""แผน!ET50"")"),15000)</f>
        <v>15000</v>
      </c>
      <c r="J378" s="863">
        <f ca="1">IFERROR(__xludf.DUMMYFUNCTION("IMPORTRANGE(""https://docs.google.com/spreadsheets/d/1XWAQStnk-4SwqDmLtmXYiTMKHgktTP8We1SCoS47DrQ/edit?usp=sharing"",""จัดที่ดิน!AI50"")"),4609.82)</f>
        <v>4609.82</v>
      </c>
      <c r="K378" s="864">
        <f t="shared" ca="1" si="164"/>
        <v>30.732133333333334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IFERROR(__xludf.DUMMYFUNCTION("IMPORTRANGE(""https://docs.google.com/spreadsheets/d/1QqKyyYR6Q21VydFLVH3TRQUabQu_ym0Zz7PgGX0-kHA/edit?usp=sharing"",""แผน!EU50"")"),1750)</f>
        <v>1750</v>
      </c>
      <c r="J379" s="863">
        <f ca="1">IFERROR(__xludf.DUMMYFUNCTION("IMPORTRANGE(""https://docs.google.com/spreadsheets/d/1XWAQStnk-4SwqDmLtmXYiTMKHgktTP8We1SCoS47DrQ/edit?usp=sharing"",""จัดที่ดิน!AJ50"")"),857)</f>
        <v>857</v>
      </c>
      <c r="K379" s="864">
        <f t="shared" ca="1" si="164"/>
        <v>48.971428571428568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IFERROR(__xludf.DUMMYFUNCTION("IMPORTRANGE(""https://docs.google.com/spreadsheets/d/1XWAQStnk-4SwqDmLtmXYiTMKHgktTP8We1SCoS47DrQ/edit?usp=sharing"",""จัดที่ดิน!AK50"")"),11202.29)</f>
        <v>11202.29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IFERROR(__xludf.DUMMYFUNCTION("IMPORTRANGE(""https://docs.google.com/spreadsheets/d/1QqKyyYR6Q21VydFLVH3TRQUabQu_ym0Zz7PgGX0-kHA/edit?usp=sharing"",""แผน!EU50"")"),1750)</f>
        <v>1750</v>
      </c>
      <c r="J381" s="863">
        <f ca="1">IFERROR(__xludf.DUMMYFUNCTION("IMPORTRANGE(""https://docs.google.com/spreadsheets/d/1XWAQStnk-4SwqDmLtmXYiTMKHgktTP8We1SCoS47DrQ/edit?usp=sharing"",""จัดที่ดิน!AL50"")"),516)</f>
        <v>516</v>
      </c>
      <c r="K381" s="864">
        <f t="shared" ca="1" si="164"/>
        <v>29.485714285714284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IFERROR(__xludf.DUMMYFUNCTION("IMPORTRANGE(""https://docs.google.com/spreadsheets/d/1XWAQStnk-4SwqDmLtmXYiTMKHgktTP8We1SCoS47DrQ/edit?usp=sharing"",""จัดที่ดิน!AM50"")"),6590.59999999999)</f>
        <v>6590.5999999999904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IFERROR(__xludf.DUMMYFUNCTION("IMPORTRANGE(""https://docs.google.com/spreadsheets/d/1QqKyyYR6Q21VydFLVH3TRQUabQu_ym0Zz7PgGX0-kHA/edit?usp=sharing"",""แผน!EW50"")"),100)</f>
        <v>100</v>
      </c>
      <c r="J385" s="1117">
        <f ca="1">IFERROR(__xludf.DUMMYFUNCTION("IMPORTRANGE(""https://docs.google.com/spreadsheets/d/1XWAQStnk-4SwqDmLtmXYiTMKHgktTP8We1SCoS47DrQ/edit?usp=sharing"",""จัดที่ดิน!AP50"")"),0)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IFERROR(__xludf.DUMMYFUNCTION("IMPORTRANGE(""https://docs.google.com/spreadsheets/d/1MeEWN-I1oV_STSDYn1IFDPWt_1FKiwhDph83XaGc0o0/edit?usp=sharing"",""งบพรบ!FG50"")"),0)</f>
        <v>0</v>
      </c>
      <c r="M394" s="870">
        <f ca="1">IFERROR(__xludf.DUMMYFUNCTION("IMPORTRANGE(""https://docs.google.com/spreadsheets/d/1MeEWN-I1oV_STSDYn1IFDPWt_1FKiwhDph83XaGc0o0/edit?usp=sharing"",""งบพรบ!FL50"")"),0)</f>
        <v>0</v>
      </c>
      <c r="N394" s="870">
        <f ca="1">IFERROR(__xludf.DUMMYFUNCTION("IMPORTRANGE(""https://docs.google.com/spreadsheets/d/1MeEWN-I1oV_STSDYn1IFDPWt_1FKiwhDph83XaGc0o0/edit?usp=sharing"",""งบพรบ!FN50"")"),0)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IFERROR(__xludf.DUMMYFUNCTION("IMPORTRANGE(""https://docs.google.com/spreadsheets/d/1MeEWN-I1oV_STSDYn1IFDPWt_1FKiwhDph83XaGc0o0/edit?usp=sharing"",""งบพรบ!FJ50"")"),0)</f>
        <v>0</v>
      </c>
      <c r="M397" s="870">
        <f ca="1">IFERROR(__xludf.DUMMYFUNCTION("IMPORTRANGE(""https://docs.google.com/spreadsheets/d/1MeEWN-I1oV_STSDYn1IFDPWt_1FKiwhDph83XaGc0o0/edit?usp=sharing"",""งบพรบ!FM50"")"),0)</f>
        <v>0</v>
      </c>
      <c r="N397" s="870">
        <f ca="1">IFERROR(__xludf.DUMMYFUNCTION("IMPORTRANGE(""https://docs.google.com/spreadsheets/d/1MeEWN-I1oV_STSDYn1IFDPWt_1FKiwhDph83XaGc0o0/edit?usp=sharing"",""งบพรบ!FO50"")"),0)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IFERROR(__xludf.DUMMYFUNCTION("IMPORTRANGE(""https://docs.google.com/spreadsheets/d/1MeEWN-I1oV_STSDYn1IFDPWt_1FKiwhDph83XaGc0o0/edit?usp=sharing"",""งบพรบ!FQ50"")"),0)</f>
        <v>0</v>
      </c>
      <c r="M407" s="870">
        <f ca="1">IFERROR(__xludf.DUMMYFUNCTION("IMPORTRANGE(""https://docs.google.com/spreadsheets/d/1MeEWN-I1oV_STSDYn1IFDPWt_1FKiwhDph83XaGc0o0/edit?usp=sharing"",""งบพรบ!FV50"")"),0)</f>
        <v>0</v>
      </c>
      <c r="N407" s="870">
        <f ca="1">IFERROR(__xludf.DUMMYFUNCTION("IMPORTRANGE(""https://docs.google.com/spreadsheets/d/1MeEWN-I1oV_STSDYn1IFDPWt_1FKiwhDph83XaGc0o0/edit?usp=sharing"",""งบพรบ!FX50"")"),0)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IFERROR(__xludf.DUMMYFUNCTION("IMPORTRANGE(""https://docs.google.com/spreadsheets/d/1MeEWN-I1oV_STSDYn1IFDPWt_1FKiwhDph83XaGc0o0/edit?usp=sharing"",""งบพรบ!FT50"")"),0)</f>
        <v>0</v>
      </c>
      <c r="M410" s="870">
        <f ca="1">IFERROR(__xludf.DUMMYFUNCTION("IMPORTRANGE(""https://docs.google.com/spreadsheets/d/1MeEWN-I1oV_STSDYn1IFDPWt_1FKiwhDph83XaGc0o0/edit?usp=sharing"",""งบพรบ!FW50"")"),0)</f>
        <v>0</v>
      </c>
      <c r="N410" s="870">
        <f ca="1">IFERROR(__xludf.DUMMYFUNCTION("IMPORTRANGE(""https://docs.google.com/spreadsheets/d/1MeEWN-I1oV_STSDYn1IFDPWt_1FKiwhDph83XaGc0o0/edit?usp=sharing"",""งบพรบ!FY50"")"),0)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3956925</v>
      </c>
      <c r="M414" s="1257">
        <f t="shared" si="181"/>
        <v>0</v>
      </c>
      <c r="N414" s="1257">
        <f t="shared" si="181"/>
        <v>1059633.05</v>
      </c>
      <c r="O414" s="1257">
        <f ca="1">IF(L414&gt;0,N414*100/L414,0)</f>
        <v>26.779204811817259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15</v>
      </c>
      <c r="J417" s="1270">
        <f t="shared" ca="1" si="182"/>
        <v>15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67560</v>
      </c>
      <c r="M419" s="972">
        <f t="shared" si="184"/>
        <v>0</v>
      </c>
      <c r="N419" s="972">
        <f t="shared" si="184"/>
        <v>52583</v>
      </c>
      <c r="O419" s="972">
        <f t="shared" ref="O419:O424" ca="1" si="185">IF(L419&gt;0,N419*100/L419,0)</f>
        <v>77.831557134399048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67560</v>
      </c>
      <c r="M421" s="870">
        <f t="shared" si="187"/>
        <v>0</v>
      </c>
      <c r="N421" s="870">
        <f t="shared" si="187"/>
        <v>52583</v>
      </c>
      <c r="O421" s="870">
        <f t="shared" ca="1" si="185"/>
        <v>77.831557134399048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67560</v>
      </c>
      <c r="M422" s="864">
        <f t="shared" si="188"/>
        <v>0</v>
      </c>
      <c r="N422" s="864">
        <f t="shared" si="188"/>
        <v>52583</v>
      </c>
      <c r="O422" s="864">
        <f t="shared" ca="1" si="185"/>
        <v>77.831557134399048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IFERROR(__xludf.DUMMYFUNCTION("IMPORTRANGE(""https://docs.google.com/spreadsheets/d/1QqKyyYR6Q21VydFLVH3TRQUabQu_ym0Zz7PgGX0-kHA/edit?usp=sharing"",""แผน!EY50"")"),67560)</f>
        <v>67560</v>
      </c>
      <c r="M424" s="870">
        <v>0</v>
      </c>
      <c r="N424" s="870">
        <f>N425+N426+N427+N428</f>
        <v>52583</v>
      </c>
      <c r="O424" s="870">
        <f t="shared" ca="1" si="185"/>
        <v>77.831557134399048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37073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f>300+4250+10960</f>
        <v>15510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IFERROR(__xludf.DUMMYFUNCTION("IMPORTRANGE(""https://docs.google.com/spreadsheets/d/1QqKyyYR6Q21VydFLVH3TRQUabQu_ym0Zz7PgGX0-kHA/edit?usp=sharing"",""แผน!FB50"")"),0)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15</v>
      </c>
      <c r="J433" s="999">
        <f ca="1">IF(AND(J435=I435,J437=I437,J439=I439),I437+I439,IF(AND(J435=I437,J437=I437),I437,IF(AND(J435=I439,J439=I439),I439,0)))</f>
        <v>15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IFERROR(__xludf.DUMMYFUNCTION("IMPORTRANGE(""https://docs.google.com/spreadsheets/d/1QqKyyYR6Q21VydFLVH3TRQUabQu_ym0Zz7PgGX0-kHA/edit?usp=sharing"",""แผน!FC50"")"),15)</f>
        <v>15</v>
      </c>
      <c r="J435" s="578">
        <v>15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IFERROR(__xludf.DUMMYFUNCTION("IMPORTRANGE(""https://docs.google.com/spreadsheets/d/1QqKyyYR6Q21VydFLVH3TRQUabQu_ym0Zz7PgGX0-kHA/edit?usp=sharing"",""แผน!FD50"")"),0)</f>
        <v>0</v>
      </c>
      <c r="J437" s="578">
        <v>15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IFERROR(__xludf.DUMMYFUNCTION("IMPORTRANGE(""https://docs.google.com/spreadsheets/d/1QqKyyYR6Q21VydFLVH3TRQUabQu_ym0Zz7PgGX0-kHA/edit?usp=sharing"",""แผน!FE50"")"),0)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IFERROR(__xludf.DUMMYFUNCTION("IMPORTRANGE(""https://docs.google.com/spreadsheets/d/1QqKyyYR6Q21VydFLVH3TRQUabQu_ym0Zz7PgGX0-kHA/edit?usp=sharing"",""แผน!FF50"")"),15)</f>
        <v>15</v>
      </c>
      <c r="J439" s="578">
        <v>15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IFERROR(__xludf.DUMMYFUNCTION("IMPORTRANGE(""https://docs.google.com/spreadsheets/d/1QqKyyYR6Q21VydFLVH3TRQUabQu_ym0Zz7PgGX0-kHA/edit?usp=sharing"",""แผน!FG50"")"),1)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 hidden="1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IFERROR(__xludf.DUMMYFUNCTION("IMPORTRANGE(""https://docs.google.com/spreadsheets/d/1QqKyyYR6Q21VydFLVH3TRQUabQu_ym0Zz7PgGX0-kHA/edit?usp=sharing"",""แผน!FH50"")"),0)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140</v>
      </c>
      <c r="J442" s="1285">
        <f t="shared" si="195"/>
        <v>140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660</v>
      </c>
      <c r="J443" s="1270">
        <f t="shared" si="196"/>
        <v>660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1043880</v>
      </c>
      <c r="M444" s="1000">
        <f t="shared" si="197"/>
        <v>0</v>
      </c>
      <c r="N444" s="1000">
        <f t="shared" si="197"/>
        <v>242050</v>
      </c>
      <c r="O444" s="1000">
        <f t="shared" ref="O444:O449" ca="1" si="198">IF(L444&gt;0,N444*100/L444,0)</f>
        <v>23.187531133846804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1043880</v>
      </c>
      <c r="M446" s="870">
        <f t="shared" si="200"/>
        <v>0</v>
      </c>
      <c r="N446" s="870">
        <f t="shared" si="200"/>
        <v>242050</v>
      </c>
      <c r="O446" s="870">
        <f t="shared" ca="1" si="198"/>
        <v>23.187531133846804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1043880</v>
      </c>
      <c r="M447" s="864">
        <f t="shared" si="201"/>
        <v>0</v>
      </c>
      <c r="N447" s="864">
        <f t="shared" si="201"/>
        <v>242050</v>
      </c>
      <c r="O447" s="864">
        <f t="shared" ca="1" si="198"/>
        <v>23.187531133846804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IFERROR(__xludf.DUMMYFUNCTION("IMPORTRANGE(""https://docs.google.com/spreadsheets/d/1QqKyyYR6Q21VydFLVH3TRQUabQu_ym0Zz7PgGX0-kHA/edit?usp=sharing"",""แผน!FJ50"")"),1043880)</f>
        <v>1043880</v>
      </c>
      <c r="M449" s="870">
        <v>0</v>
      </c>
      <c r="N449" s="870">
        <f>N450+N451+N452+N453</f>
        <v>242050</v>
      </c>
      <c r="O449" s="870">
        <f t="shared" ca="1" si="198"/>
        <v>23.187531133846804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130774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52000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f>23220+2240+21116+8000+4700</f>
        <v>59276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IFERROR(__xludf.DUMMYFUNCTION("IMPORTRANGE(""https://docs.google.com/spreadsheets/d/1QqKyyYR6Q21VydFLVH3TRQUabQu_ym0Zz7PgGX0-kHA/edit?usp=sharing"",""แผน!FM50"")"),0)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IFERROR(__xludf.DUMMYFUNCTION("IMPORTRANGE(""https://docs.google.com/spreadsheets/d/1QqKyyYR6Q21VydFLVH3TRQUabQu_ym0Zz7PgGX0-kHA/edit?usp=sharing"",""แผน!FN50"")"),140)</f>
        <v>140</v>
      </c>
      <c r="J460" s="992">
        <v>140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IFERROR(__xludf.DUMMYFUNCTION("IMPORTRANGE(""https://docs.google.com/spreadsheets/d/1QqKyyYR6Q21VydFLVH3TRQUabQu_ym0Zz7PgGX0-kHA/edit?usp=sharing"",""แผน!FO50"")"),660)</f>
        <v>660</v>
      </c>
      <c r="J462" s="992">
        <v>660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IFERROR(__xludf.DUMMYFUNCTION("IMPORTRANGE(""https://docs.google.com/spreadsheets/d/1QqKyyYR6Q21VydFLVH3TRQUabQu_ym0Zz7PgGX0-kHA/edit?usp=sharing"",""แผน!FO50"")"),660)</f>
        <v>660</v>
      </c>
      <c r="J463" s="992">
        <v>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IFERROR(__xludf.DUMMYFUNCTION("IMPORTRANGE(""https://docs.google.com/spreadsheets/d/1QqKyyYR6Q21VydFLVH3TRQUabQu_ym0Zz7PgGX0-kHA/edit?usp=sharing"",""แผน!FN50"")"),140)</f>
        <v>140</v>
      </c>
      <c r="J464" s="992">
        <v>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IFERROR(__xludf.DUMMYFUNCTION("IMPORTRANGE(""https://docs.google.com/spreadsheets/d/1QqKyyYR6Q21VydFLVH3TRQUabQu_ym0Zz7PgGX0-kHA/edit?usp=sharing"",""แผน!FX50"")"),131)</f>
        <v>131</v>
      </c>
      <c r="J465" s="1285">
        <f>J485+J489+J492</f>
        <v>21</v>
      </c>
      <c r="K465" s="1286">
        <f t="shared" ref="K465:K466" ca="1" si="205">IF(I465&gt;0,J465*100/I465,0)</f>
        <v>16.03053435114504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IFERROR(__xludf.DUMMYFUNCTION("IMPORTRANGE(""https://docs.google.com/spreadsheets/d/1QqKyyYR6Q21VydFLVH3TRQUabQu_ym0Zz7PgGX0-kHA/edit?usp=sharing"",""แผน!FW50"")"),1300)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1172208</v>
      </c>
      <c r="M467" s="1000">
        <f t="shared" si="206"/>
        <v>0</v>
      </c>
      <c r="N467" s="1000">
        <f t="shared" si="206"/>
        <v>121681</v>
      </c>
      <c r="O467" s="1000">
        <f t="shared" ref="O467:O472" ca="1" si="207">IF(L467&gt;0,N467*100/L467,0)</f>
        <v>10.380495611700313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1172208</v>
      </c>
      <c r="M469" s="870">
        <f t="shared" si="209"/>
        <v>0</v>
      </c>
      <c r="N469" s="870">
        <f t="shared" si="209"/>
        <v>121681</v>
      </c>
      <c r="O469" s="870">
        <f t="shared" ca="1" si="207"/>
        <v>10.380495611700313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1172208</v>
      </c>
      <c r="M470" s="864">
        <f t="shared" si="210"/>
        <v>0</v>
      </c>
      <c r="N470" s="864">
        <f t="shared" si="210"/>
        <v>121681</v>
      </c>
      <c r="O470" s="864">
        <f t="shared" ca="1" si="207"/>
        <v>10.380495611700313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IFERROR(__xludf.DUMMYFUNCTION("IMPORTRANGE(""https://docs.google.com/spreadsheets/d/1QqKyyYR6Q21VydFLVH3TRQUabQu_ym0Zz7PgGX0-kHA/edit?usp=sharing"",""แผน!FS50"")"),1172208)</f>
        <v>1172208</v>
      </c>
      <c r="M472" s="870">
        <v>0</v>
      </c>
      <c r="N472" s="870">
        <f>N473+N474+N475+N476</f>
        <v>121681</v>
      </c>
      <c r="O472" s="870">
        <f t="shared" ca="1" si="207"/>
        <v>10.380495611700313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33171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52000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26860+1005+7315+7870-6540</f>
        <v>36510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IFERROR(__xludf.DUMMYFUNCTION("IMPORTRANGE(""https://docs.google.com/spreadsheets/d/1QqKyyYR6Q21VydFLVH3TRQUabQu_ym0Zz7PgGX0-kHA/edit?usp=sharing"",""แผน!FV50"")"),0)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IFERROR(__xludf.DUMMYFUNCTION("IMPORTRANGE(""https://docs.google.com/spreadsheets/d/1QqKyyYR6Q21VydFLVH3TRQUabQu_ym0Zz7PgGX0-kHA/edit?usp=sharing"",""แผน!FY50"")"),1170)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117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IFERROR(__xludf.DUMMYFUNCTION("IMPORTRANGE(""https://docs.google.com/spreadsheets/d/1QqKyyYR6Q21VydFLVH3TRQUabQu_ym0Zz7PgGX0-kHA/edit?usp=sharing"",""แผน!FZ50"")"),117)</f>
        <v>117</v>
      </c>
      <c r="J485" s="992">
        <v>0</v>
      </c>
      <c r="K485" s="864">
        <f ca="1">IF(I485&gt;0,J485*100/I485,0)</f>
        <v>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IFERROR(__xludf.DUMMYFUNCTION("IMPORTRANGE(""https://docs.google.com/spreadsheets/d/1QqKyyYR6Q21VydFLVH3TRQUabQu_ym0Zz7PgGX0-kHA/edit?usp=sharing"",""แผน!GA50"")"),130)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20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IFERROR(__xludf.DUMMYFUNCTION("IMPORTRANGE(""https://docs.google.com/spreadsheets/d/1QqKyyYR6Q21VydFLVH3TRQUabQu_ym0Zz7PgGX0-kHA/edit?usp=sharing"",""แผน!GB50"")"),13)</f>
        <v>13</v>
      </c>
      <c r="J489" s="992">
        <v>20</v>
      </c>
      <c r="K489" s="864">
        <f ca="1">IF(I489&gt;0,J489*100/I489,0)</f>
        <v>153.84615384615384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1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IFERROR(__xludf.DUMMYFUNCTION("IMPORTRANGE(""https://docs.google.com/spreadsheets/d/1QqKyyYR6Q21VydFLVH3TRQUabQu_ym0Zz7PgGX0-kHA/edit?usp=sharing"",""แผน!GC50"")"),1)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IFERROR(__xludf.DUMMYFUNCTION("IMPORTRANGE(""https://docs.google.com/spreadsheets/d/1QqKyyYR6Q21VydFLVH3TRQUabQu_ym0Zz7PgGX0-kHA/edit?usp=sharing"",""แผน!FY50"")"),1170)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IFERROR(__xludf.DUMMYFUNCTION("IMPORTRANGE(""https://docs.google.com/spreadsheets/d/1QqKyyYR6Q21VydFLVH3TRQUabQu_ym0Zz7PgGX0-kHA/edit?usp=sharing"",""แผน!GA50"")"),130)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IFERROR(__xludf.DUMMYFUNCTION("IMPORTRANGE(""https://docs.google.com/spreadsheets/d/1QqKyyYR6Q21VydFLVH3TRQUabQu_ym0Zz7PgGX0-kHA/edit?usp=sharing"",""แผน!GQ50"")"),0)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IFERROR(__xludf.DUMMYFUNCTION("IMPORTRANGE(""https://docs.google.com/spreadsheets/d/1QqKyyYR6Q21VydFLVH3TRQUabQu_ym0Zz7PgGX0-kHA/edit?usp=sharing"",""แผน!GT50"")"),0)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IFERROR(__xludf.DUMMYFUNCTION("IMPORTRANGE(""https://docs.google.com/spreadsheets/d/1QqKyyYR6Q21VydFLVH3TRQUabQu_ym0Zz7PgGX0-kHA/edit?usp=sharing"",""แผน!GU50"")"),0)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IFERROR(__xludf.DUMMYFUNCTION("IMPORTRANGE(""https://docs.google.com/spreadsheets/d/1QqKyyYR6Q21VydFLVH3TRQUabQu_ym0Zz7PgGX0-kHA/edit?usp=sharing"",""แผน!GV50"")"),0)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IFERROR(__xludf.DUMMYFUNCTION("IMPORTRANGE(""https://docs.google.com/spreadsheets/d/1QqKyyYR6Q21VydFLVH3TRQUabQu_ym0Zz7PgGX0-kHA/edit?usp=sharing"",""แผน!GW50"")"),0)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IFERROR(__xludf.DUMMYFUNCTION("IMPORTRANGE(""https://docs.google.com/spreadsheets/d/1QqKyyYR6Q21VydFLVH3TRQUabQu_ym0Zz7PgGX0-kHA/edit?usp=sharing"",""แผน!GX50"")"),0)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IFERROR(__xludf.DUMMYFUNCTION("IMPORTRANGE(""https://docs.google.com/spreadsheets/d/1QqKyyYR6Q21VydFLVH3TRQUabQu_ym0Zz7PgGX0-kHA/edit?usp=sharing"",""แผน!GY50"")"),0)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IFERROR(__xludf.DUMMYFUNCTION("IMPORTRANGE(""https://docs.google.com/spreadsheets/d/1QqKyyYR6Q21VydFLVH3TRQUabQu_ym0Zz7PgGX0-kHA/edit?usp=sharing"",""แผน!GZ50"")"),0)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80104</v>
      </c>
      <c r="J543" s="1357">
        <f t="shared" si="235"/>
        <v>80105.78</v>
      </c>
      <c r="K543" s="1358">
        <f t="shared" ca="1" si="234"/>
        <v>100.00222211125536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493687</v>
      </c>
      <c r="M544" s="972">
        <f t="shared" si="236"/>
        <v>0</v>
      </c>
      <c r="N544" s="972">
        <f t="shared" si="236"/>
        <v>103903.29000000001</v>
      </c>
      <c r="O544" s="972">
        <f t="shared" ref="O544:O549" ca="1" si="237">IF(L544&gt;0,N544*100/L544,0)</f>
        <v>21.046389716561304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493687</v>
      </c>
      <c r="M546" s="870">
        <f t="shared" si="240"/>
        <v>0</v>
      </c>
      <c r="N546" s="870">
        <f t="shared" si="240"/>
        <v>103903.29000000001</v>
      </c>
      <c r="O546" s="870">
        <f t="shared" ca="1" si="237"/>
        <v>21.046389716561304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493687</v>
      </c>
      <c r="M547" s="864">
        <f t="shared" si="241"/>
        <v>0</v>
      </c>
      <c r="N547" s="864">
        <f t="shared" si="241"/>
        <v>103903.29000000001</v>
      </c>
      <c r="O547" s="864">
        <f t="shared" ca="1" si="237"/>
        <v>21.046389716561304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IFERROR(__xludf.DUMMYFUNCTION("IMPORTRANGE(""https://docs.google.com/spreadsheets/d/1QqKyyYR6Q21VydFLVH3TRQUabQu_ym0Zz7PgGX0-kHA/edit?usp=sharing"",""แผน!HB50"")"),493687)</f>
        <v>493687</v>
      </c>
      <c r="M549" s="870">
        <v>0</v>
      </c>
      <c r="N549" s="870">
        <f>N550+N551+N552+N553+N554</f>
        <v>103903.29000000001</v>
      </c>
      <c r="O549" s="870">
        <f t="shared" ca="1" si="237"/>
        <v>21.046389716561304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52000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660+11780+15141+10768+11111+500+2782-838.71</f>
        <v>51903.29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IFERROR(__xludf.DUMMYFUNCTION("IMPORTRANGE(""https://docs.google.com/spreadsheets/d/1QqKyyYR6Q21VydFLVH3TRQUabQu_ym0Zz7PgGX0-kHA/edit?usp=sharing"",""แผน!HF50"")"),0)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80104</v>
      </c>
      <c r="J559" s="1350">
        <f t="shared" si="245"/>
        <v>80105.78</v>
      </c>
      <c r="K559" s="1351">
        <f t="shared" ref="K559:K561" ca="1" si="246">IF(I559&gt;0,J559*100/I559,0)</f>
        <v>100.00222211125536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IFERROR(__xludf.DUMMYFUNCTION("IMPORTRANGE(""https://docs.google.com/spreadsheets/d/1QqKyyYR6Q21VydFLVH3TRQUabQu_ym0Zz7PgGX0-kHA/edit?usp=sharing"",""แผน!HH50"")"),80104)</f>
        <v>80104</v>
      </c>
      <c r="J560" s="998">
        <f t="shared" ref="J560:J561" si="247">J562+J564+J566</f>
        <v>80104.92</v>
      </c>
      <c r="K560" s="1142">
        <f t="shared" ca="1" si="246"/>
        <v>100.00114850694098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IFERROR(__xludf.DUMMYFUNCTION("IMPORTRANGE(""https://docs.google.com/spreadsheets/d/1QqKyyYR6Q21VydFLVH3TRQUabQu_ym0Zz7PgGX0-kHA/edit?usp=sharing"",""แผน!HG50"")"),6736)</f>
        <v>6736</v>
      </c>
      <c r="J561" s="998">
        <f t="shared" si="247"/>
        <v>6736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60622.07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5276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15846.72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1176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3636.13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284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IFERROR(__xludf.DUMMYFUNCTION("IMPORTRANGE(""https://docs.google.com/spreadsheets/d/1QqKyyYR6Q21VydFLVH3TRQUabQu_ym0Zz7PgGX0-kHA/edit?usp=sharing"",""แผน!HH50"")"),80104)</f>
        <v>80104</v>
      </c>
      <c r="J568" s="999">
        <f t="shared" ref="J568:J569" si="248">J570+J572+J574</f>
        <v>14242.93</v>
      </c>
      <c r="K568" s="1142">
        <f t="shared" ref="K568:K569" ca="1" si="249">IF(I568&gt;0,J568*100/I568,0)</f>
        <v>17.780547787875761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IFERROR(__xludf.DUMMYFUNCTION("IMPORTRANGE(""https://docs.google.com/spreadsheets/d/1QqKyyYR6Q21VydFLVH3TRQUabQu_ym0Zz7PgGX0-kHA/edit?usp=sharing"",""แผน!HG50"")"),6736)</f>
        <v>6736</v>
      </c>
      <c r="J569" s="999">
        <f t="shared" si="248"/>
        <v>1294</v>
      </c>
      <c r="K569" s="1142">
        <f t="shared" ca="1" si="249"/>
        <v>19.210213776722089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10765.53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1070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2751.1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178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726.3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46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IFERROR(__xludf.DUMMYFUNCTION("IMPORTRANGE(""https://docs.google.com/spreadsheets/d/1QqKyyYR6Q21VydFLVH3TRQUabQu_ym0Zz7PgGX0-kHA/edit?usp=sharing"",""แผน!HH50"")"),80104)</f>
        <v>80104</v>
      </c>
      <c r="J576" s="999">
        <f t="shared" ref="J576:J577" si="250">J578+J580+J582+J588+J590</f>
        <v>80105.78</v>
      </c>
      <c r="K576" s="1142">
        <f t="shared" ref="K576:K577" ca="1" si="251">IF(I576&gt;0,J576*100/I576,0)</f>
        <v>100.00222211125536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IFERROR(__xludf.DUMMYFUNCTION("IMPORTRANGE(""https://docs.google.com/spreadsheets/d/1QqKyyYR6Q21VydFLVH3TRQUabQu_ym0Zz7PgGX0-kHA/edit?usp=sharing"",""แผน!HG50"")"),6736)</f>
        <v>6736</v>
      </c>
      <c r="J577" s="999">
        <f t="shared" si="250"/>
        <v>6736</v>
      </c>
      <c r="K577" s="1142">
        <f t="shared" ca="1" si="251"/>
        <v>100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60622.07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5276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15846.72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1176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3636.99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284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3635.99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283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1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1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1116.18</v>
      </c>
      <c r="J592" s="1350">
        <f t="shared" si="253"/>
        <v>0</v>
      </c>
      <c r="K592" s="1351">
        <f t="shared" ref="K592:K594" ca="1" si="254">IF(I592&gt;0,J592*100/I592,0)</f>
        <v>0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IFERROR(__xludf.DUMMYFUNCTION("IMPORTRANGE(""https://docs.google.com/spreadsheets/d/1QqKyyYR6Q21VydFLVH3TRQUabQu_ym0Zz7PgGX0-kHA/edit?usp=sharing"",""แผน!HJ50"")"),1116.18)</f>
        <v>1116.18</v>
      </c>
      <c r="J593" s="998">
        <f t="shared" ref="J593:J594" si="255">J595+J603+J609</f>
        <v>0</v>
      </c>
      <c r="K593" s="1142">
        <f t="shared" ca="1" si="254"/>
        <v>0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IFERROR(__xludf.DUMMYFUNCTION("IMPORTRANGE(""https://docs.google.com/spreadsheets/d/1QqKyyYR6Q21VydFLVH3TRQUabQu_ym0Zz7PgGX0-kHA/edit?usp=sharing"",""แผน!HI50"")"),66)</f>
        <v>66</v>
      </c>
      <c r="J594" s="998">
        <f t="shared" si="255"/>
        <v>0</v>
      </c>
      <c r="K594" s="1142">
        <f t="shared" ca="1" si="254"/>
        <v>0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0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0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0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0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IFERROR(__xludf.DUMMYFUNCTION("IMPORTRANGE(""https://docs.google.com/spreadsheets/d/1QqKyyYR6Q21VydFLVH3TRQUabQu_ym0Zz7PgGX0-kHA/edit?usp=sharing"",""แผน!HL50"")"),22)</f>
        <v>22</v>
      </c>
      <c r="J620" s="1389">
        <f t="shared" ref="J620:J621" si="260">J622+J624+J626</f>
        <v>22</v>
      </c>
      <c r="K620" s="1390">
        <f t="shared" ref="K620:K621" ca="1" si="261">IF(I620&gt;0,J620*100/I620,0)</f>
        <v>100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IFERROR(__xludf.DUMMYFUNCTION("IMPORTRANGE(""https://docs.google.com/spreadsheets/d/1QqKyyYR6Q21VydFLVH3TRQUabQu_ym0Zz7PgGX0-kHA/edit?usp=sharing"",""แผน!HK50"")"),1)</f>
        <v>1</v>
      </c>
      <c r="J621" s="1389">
        <f t="shared" si="260"/>
        <v>1</v>
      </c>
      <c r="K621" s="1390">
        <f t="shared" ca="1" si="261"/>
        <v>100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22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1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812</v>
      </c>
      <c r="J628" s="1398">
        <f t="shared" ca="1" si="262"/>
        <v>589</v>
      </c>
      <c r="K628" s="1399">
        <f ca="1">IF(I628&gt;0,J628*100/I628,0)</f>
        <v>72.536945812807886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1025710</v>
      </c>
      <c r="M629" s="1000">
        <f t="shared" si="263"/>
        <v>0</v>
      </c>
      <c r="N629" s="1000">
        <f t="shared" si="263"/>
        <v>495960.76</v>
      </c>
      <c r="O629" s="1000">
        <f t="shared" ref="O629:O634" ca="1" si="264">IF(L629&gt;0,N629*100/L629,0)</f>
        <v>48.35292236597089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1025710</v>
      </c>
      <c r="M631" s="870">
        <f t="shared" si="266"/>
        <v>0</v>
      </c>
      <c r="N631" s="870">
        <f t="shared" si="266"/>
        <v>495960.76</v>
      </c>
      <c r="O631" s="870">
        <f t="shared" ca="1" si="264"/>
        <v>48.35292236597089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1025710</v>
      </c>
      <c r="M632" s="864">
        <f t="shared" si="267"/>
        <v>0</v>
      </c>
      <c r="N632" s="864">
        <f t="shared" si="267"/>
        <v>495960.76</v>
      </c>
      <c r="O632" s="864">
        <f t="shared" ca="1" si="264"/>
        <v>48.35292236597089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IFERROR(__xludf.DUMMYFUNCTION("IMPORTRANGE(""https://docs.google.com/spreadsheets/d/1QqKyyYR6Q21VydFLVH3TRQUabQu_ym0Zz7PgGX0-kHA/edit?usp=sharing"",""แผน!HN50"")"),1025710)</f>
        <v>1025710</v>
      </c>
      <c r="M634" s="870">
        <v>0</v>
      </c>
      <c r="N634" s="870">
        <f>N635+N636+N637+N638</f>
        <v>495960.76</v>
      </c>
      <c r="O634" s="870">
        <f t="shared" ca="1" si="264"/>
        <v>48.35292236597089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104000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31910+36500+14127.5+220070+29460+43043.26+17150-300</f>
        <v>391960.76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IFERROR(__xludf.DUMMYFUNCTION("IMPORTRANGE(""https://docs.google.com/spreadsheets/d/1QqKyyYR6Q21VydFLVH3TRQUabQu_ym0Zz7PgGX0-kHA/edit?usp=sharing"",""แผน!HQ50"")"),0)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IFERROR(__xludf.DUMMYFUNCTION("IMPORTRANGE(""https://docs.google.com/spreadsheets/d/1QqKyyYR6Q21VydFLVH3TRQUabQu_ym0Zz7PgGX0-kHA/edit?usp=sharing"",""แผน!HR50"")"),4)</f>
        <v>4</v>
      </c>
      <c r="J643" s="992">
        <v>4</v>
      </c>
      <c r="K643" s="978">
        <f t="shared" ref="K643:K652" ca="1" si="271">IF(I643&gt;0,J643*100/I643,0)</f>
        <v>100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IFERROR(__xludf.DUMMYFUNCTION("IMPORTRANGE(""https://docs.google.com/spreadsheets/d/1QqKyyYR6Q21VydFLVH3TRQUabQu_ym0Zz7PgGX0-kHA/edit?usp=sharing"",""แผน!HR50"")"),4)</f>
        <v>4</v>
      </c>
      <c r="J644" s="992">
        <v>4</v>
      </c>
      <c r="K644" s="978">
        <f t="shared" ca="1" si="271"/>
        <v>100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IFERROR(__xludf.DUMMYFUNCTION("IMPORTRANGE(""https://docs.google.com/spreadsheets/d/1XWAQStnk-4SwqDmLtmXYiTMKHgktTP8We1SCoS47DrQ/edit?usp=sharing"",""จัดที่ดิน!AS50"")"),127)</f>
        <v>127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IFERROR(__xludf.DUMMYFUNCTION("IMPORTRANGE(""https://docs.google.com/spreadsheets/d/1XWAQStnk-4SwqDmLtmXYiTMKHgktTP8We1SCoS47DrQ/edit?usp=sharing"",""จัดที่ดิน!AT50"")"),60.14)</f>
        <v>60.14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IFERROR(__xludf.DUMMYFUNCTION("IMPORTRANGE(""https://docs.google.com/spreadsheets/d/1QqKyyYR6Q21VydFLVH3TRQUabQu_ym0Zz7PgGX0-kHA/edit?usp=sharing"",""แผน!HS50"")"),812)</f>
        <v>812</v>
      </c>
      <c r="J647" s="863">
        <f ca="1">IFERROR(__xludf.DUMMYFUNCTION("IMPORTRANGE(""https://docs.google.com/spreadsheets/d/1XWAQStnk-4SwqDmLtmXYiTMKHgktTP8We1SCoS47DrQ/edit?usp=sharing"",""จัดที่ดิน!AU50"")"),390)</f>
        <v>390</v>
      </c>
      <c r="K647" s="978">
        <f t="shared" ca="1" si="271"/>
        <v>48.029556650246306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IFERROR(__xludf.DUMMYFUNCTION("IMPORTRANGE(""https://docs.google.com/spreadsheets/d/1XWAQStnk-4SwqDmLtmXYiTMKHgktTP8We1SCoS47DrQ/edit?usp=sharing"",""จัดที่ดิน!AV50"")"),200.59)</f>
        <v>200.59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IFERROR(__xludf.DUMMYFUNCTION("IMPORTRANGE(""https://docs.google.com/spreadsheets/d/1QqKyyYR6Q21VydFLVH3TRQUabQu_ym0Zz7PgGX0-kHA/edit?usp=sharing"",""แผน!HS50"")"),812)</f>
        <v>812</v>
      </c>
      <c r="J649" s="863">
        <f ca="1">IFERROR(__xludf.DUMMYFUNCTION("IMPORTRANGE(""https://docs.google.com/spreadsheets/d/1XWAQStnk-4SwqDmLtmXYiTMKHgktTP8We1SCoS47DrQ/edit?usp=sharing"",""จัดที่ดิน!AW50"")"),589)</f>
        <v>589</v>
      </c>
      <c r="K649" s="978">
        <f t="shared" ca="1" si="271"/>
        <v>72.536945812807886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IFERROR(__xludf.DUMMYFUNCTION("IMPORTRANGE(""https://docs.google.com/spreadsheets/d/1XWAQStnk-4SwqDmLtmXYiTMKHgktTP8We1SCoS47DrQ/edit?usp=sharing"",""จัดที่ดิน!AX50"")"),310.3)</f>
        <v>310.3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IFERROR(__xludf.DUMMYFUNCTION("IMPORTRANGE(""https://docs.google.com/spreadsheets/d/1QqKyyYR6Q21VydFLVH3TRQUabQu_ym0Zz7PgGX0-kHA/edit?usp=sharing"",""แผน!HS50"")"),812)</f>
        <v>812</v>
      </c>
      <c r="J651" s="863">
        <f ca="1">IFERROR(__xludf.DUMMYFUNCTION("IMPORTRANGE(""https://docs.google.com/spreadsheets/d/1XWAQStnk-4SwqDmLtmXYiTMKHgktTP8We1SCoS47DrQ/edit?usp=sharing"",""จัดที่ดิน!AY50"")"),589)</f>
        <v>589</v>
      </c>
      <c r="K651" s="978">
        <f t="shared" ca="1" si="271"/>
        <v>72.536945812807886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IFERROR(__xludf.DUMMYFUNCTION("IMPORTRANGE(""https://docs.google.com/spreadsheets/d/1XWAQStnk-4SwqDmLtmXYiTMKHgktTP8We1SCoS47DrQ/edit?usp=sharing"",""จัดที่ดิน!AZ50"")"),310.29)</f>
        <v>310.29000000000002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 hidden="1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 hidden="1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0</v>
      </c>
      <c r="M655" s="1000">
        <f t="shared" si="273"/>
        <v>0</v>
      </c>
      <c r="N655" s="1000">
        <f t="shared" si="273"/>
        <v>0</v>
      </c>
      <c r="O655" s="1000">
        <f t="shared" ref="O655:O660" ca="1" si="274">IF(L655&gt;0,N655*100/L655,0)</f>
        <v>0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0</v>
      </c>
      <c r="M657" s="870">
        <f t="shared" si="276"/>
        <v>0</v>
      </c>
      <c r="N657" s="870">
        <f t="shared" si="276"/>
        <v>0</v>
      </c>
      <c r="O657" s="870">
        <f t="shared" ca="1" si="274"/>
        <v>0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 hidden="1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0</v>
      </c>
      <c r="M658" s="864">
        <f t="shared" si="277"/>
        <v>0</v>
      </c>
      <c r="N658" s="864">
        <f t="shared" si="277"/>
        <v>0</v>
      </c>
      <c r="O658" s="864">
        <f t="shared" ca="1" si="274"/>
        <v>0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IFERROR(__xludf.DUMMYFUNCTION("IMPORTRANGE(""https://docs.google.com/spreadsheets/d/1QqKyyYR6Q21VydFLVH3TRQUabQu_ym0Zz7PgGX0-kHA/edit?usp=sharing"",""แผน!HV50"")"),0)</f>
        <v>0</v>
      </c>
      <c r="M660" s="870">
        <v>0</v>
      </c>
      <c r="N660" s="870">
        <f>N661+N662+N663+N664</f>
        <v>0</v>
      </c>
      <c r="O660" s="870">
        <f t="shared" ca="1" si="274"/>
        <v>0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 hidden="1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 hidden="1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 hidden="1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 hidden="1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v>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 hidden="1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 hidden="1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 hidden="1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IFERROR(__xludf.DUMMYFUNCTION("IMPORTRANGE(""https://docs.google.com/spreadsheets/d/1QqKyyYR6Q21VydFLVH3TRQUabQu_ym0Zz7PgGX0-kHA/edit?usp=sharing"",""แผน!IA50"")"),0)</f>
        <v>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 hidden="1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IFERROR(__xludf.DUMMYFUNCTION("IMPORTRANGE(""https://docs.google.com/spreadsheets/d/1QqKyyYR6Q21VydFLVH3TRQUabQu_ym0Zz7PgGX0-kHA/edit?usp=sharing"",""แผน!HZ50"")"),0)</f>
        <v>0</v>
      </c>
      <c r="J670" s="992">
        <v>0</v>
      </c>
      <c r="K670" s="864">
        <f ca="1">IF(I670&gt;0,(J670*100)/I670,0)</f>
        <v>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 hidden="1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IFERROR(__xludf.DUMMYFUNCTION("IMPORTRANGE(""https://docs.google.com/spreadsheets/d/1QqKyyYR6Q21VydFLVH3TRQUabQu_ym0Zz7PgGX0-kHA/edit?usp=sharing"",""แผน!HZ50"")"),0)</f>
        <v>0</v>
      </c>
      <c r="J671" s="992">
        <v>0</v>
      </c>
      <c r="K671" s="864">
        <f ca="1">IF(I$671&gt;0,J671*100/I$671,0)</f>
        <v>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 hidden="1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0</v>
      </c>
      <c r="K672" s="864">
        <f t="shared" ref="K672:K675" ca="1" si="281">IF(I$669&gt;0,J672*100/I$669,0)</f>
        <v>0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 hidden="1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0</v>
      </c>
      <c r="K673" s="864">
        <f t="shared" ca="1" si="281"/>
        <v>0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 hidden="1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 hidden="1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 hidden="1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 hidden="1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 hidden="1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IFERROR(__xludf.DUMMYFUNCTION("IMPORTRANGE(""https://docs.google.com/spreadsheets/d/1QqKyyYR6Q21VydFLVH3TRQUabQu_ym0Zz7PgGX0-kHA/edit?usp=sharing"",""แผน!IB50"")"),0)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 hidden="1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 hidden="1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 hidden="1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 hidden="1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 hidden="1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153880</v>
      </c>
      <c r="M685" s="1000">
        <f t="shared" si="282"/>
        <v>0</v>
      </c>
      <c r="N685" s="1000">
        <f t="shared" si="282"/>
        <v>43455</v>
      </c>
      <c r="O685" s="1000">
        <f t="shared" ref="O685:O688" ca="1" si="283">IF(L685&gt;0,N685*100/L685,0)</f>
        <v>28.239537301793604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153880</v>
      </c>
      <c r="M687" s="870">
        <f t="shared" si="285"/>
        <v>0</v>
      </c>
      <c r="N687" s="870">
        <f t="shared" si="285"/>
        <v>43455</v>
      </c>
      <c r="O687" s="870">
        <f t="shared" ca="1" si="283"/>
        <v>28.239537301793604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153880</v>
      </c>
      <c r="M688" s="864">
        <f t="shared" si="286"/>
        <v>0</v>
      </c>
      <c r="N688" s="864">
        <f t="shared" si="286"/>
        <v>43455</v>
      </c>
      <c r="O688" s="864">
        <f t="shared" ca="1" si="283"/>
        <v>28.239537301793604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IFERROR(__xludf.DUMMYFUNCTION("IMPORTRANGE(""https://docs.google.com/spreadsheets/d/1QqKyyYR6Q21VydFLVH3TRQUabQu_ym0Zz7PgGX0-kHA/edit?usp=sharing"",""แผน!HW50"")"),153880)</f>
        <v>153880</v>
      </c>
      <c r="M690" s="870">
        <v>0</v>
      </c>
      <c r="N690" s="870">
        <f>N691+N692+N693+N694</f>
        <v>43455</v>
      </c>
      <c r="O690" s="870">
        <f ca="1">IF(L690&gt;0,N690*100/L690,0)</f>
        <v>28.239537301793604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f>31140+12315</f>
        <v>43455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IFERROR(__xludf.DUMMYFUNCTION("IMPORTRANGE(""https://docs.google.com/spreadsheets/d/1QqKyyYR6Q21VydFLVH3TRQUabQu_ym0Zz7PgGX0-kHA/edit?usp=sharing"",""แผน!IC50"")"),663)</f>
        <v>663</v>
      </c>
      <c r="J699" s="863">
        <f ca="1">IFERROR(__xludf.DUMMYFUNCTION("IMPORTRANGE(""https://docs.google.com/spreadsheets/d/1XWAQStnk-4SwqDmLtmXYiTMKHgktTP8We1SCoS47DrQ/edit?usp=sharing"",""จัดที่ดิน!BB50"")"),362.21)</f>
        <v>362.21</v>
      </c>
      <c r="K699" s="864">
        <f t="shared" ref="K699:K701" ca="1" si="290">IF(I699&gt;0,J699*100/I699,0)</f>
        <v>54.631975867269986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IFERROR(__xludf.DUMMYFUNCTION("IMPORTRANGE(""https://docs.google.com/spreadsheets/d/1QqKyyYR6Q21VydFLVH3TRQUabQu_ym0Zz7PgGX0-kHA/edit?usp=sharing"",""แผน!ID50"")"),62)</f>
        <v>62</v>
      </c>
      <c r="J700" s="863">
        <f ca="1">IFERROR(__xludf.DUMMYFUNCTION("IMPORTRANGE(""https://docs.google.com/spreadsheets/d/1XWAQStnk-4SwqDmLtmXYiTMKHgktTP8We1SCoS47DrQ/edit?usp=sharing"",""จัดที่ดิน!BD50"")"),16)</f>
        <v>16</v>
      </c>
      <c r="K700" s="864">
        <f t="shared" ca="1" si="290"/>
        <v>25.806451612903224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IFERROR(__xludf.DUMMYFUNCTION("IMPORTRANGE(""https://docs.google.com/spreadsheets/d/1QqKyyYR6Q21VydFLVH3TRQUabQu_ym0Zz7PgGX0-kHA/edit?usp=sharing"",""แผน!IE50"")"),342)</f>
        <v>342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IFERROR(__xludf.DUMMYFUNCTION("IMPORTRANGE(""https://docs.google.com/spreadsheets/d/1QqKyyYR6Q21VydFLVH3TRQUabQu_ym0Zz7PgGX0-kHA/edit?usp=sharing"",""แผน!IF50"")"),0)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IFERROR(__xludf.DUMMYFUNCTION("IMPORTRANGE(""https://docs.google.com/spreadsheets/d/1QqKyyYR6Q21VydFLVH3TRQUabQu_ym0Zz7PgGX0-kHA/edit?usp=sharing"",""แผน!IG50"")"),342)</f>
        <v>342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IFERROR(__xludf.DUMMYFUNCTION("IMPORTRANGE(""https://docs.google.com/spreadsheets/d/1QqKyyYR6Q21VydFLVH3TRQUabQu_ym0Zz7PgGX0-kHA/edit?usp=sharing"",""แผน!IH50"")"),0)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IFERROR(__xludf.DUMMYFUNCTION("IMPORTRANGE(""https://docs.google.com/spreadsheets/d/1XWAQStnk-4SwqDmLtmXYiTMKHgktTP8We1SCoS47DrQ/edit?usp=sharing"",""จัดที่ดิน!BF50"")"),0)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IFERROR(__xludf.DUMMYFUNCTION("IMPORTRANGE(""https://docs.google.com/spreadsheets/d/1XWAQStnk-4SwqDmLtmXYiTMKHgktTP8We1SCoS47DrQ/edit?usp=sharing"",""จัดที่ดิน!BG50"")"),0)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IFERROR(__xludf.DUMMYFUNCTION("IMPORTRANGE(""https://docs.google.com/spreadsheets/d/1QqKyyYR6Q21VydFLVH3TRQUabQu_ym0Zz7PgGX0-kHA/edit?usp=sharing"",""แผน!II50"")"),44)</f>
        <v>44</v>
      </c>
      <c r="J720" s="863">
        <f ca="1">IFERROR(__xludf.DUMMYFUNCTION("IMPORTRANGE(""https://docs.google.com/spreadsheets/d/1XWAQStnk-4SwqDmLtmXYiTMKHgktTP8We1SCoS47DrQ/edit?usp=sharing"",""จัดที่ดิน!BH50"")"),0)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IFERROR(__xludf.DUMMYFUNCTION("IMPORTRANGE(""https://docs.google.com/spreadsheets/d/1QqKyyYR6Q21VydFLVH3TRQUabQu_ym0Zz7PgGX0-kHA/edit?usp=sharing"",""แผน!IJ50"")"),39)</f>
        <v>39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IFERROR(__xludf.DUMMYFUNCTION("IMPORTRANGE(""https://docs.google.com/spreadsheets/d/1QqKyyYR6Q21VydFLVH3TRQUabQu_ym0Zz7PgGX0-kHA/edit?usp=sharing"",""แผน!IK50"")"),410)</f>
        <v>410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IFERROR(__xludf.DUMMYFUNCTION("IMPORTRANGE(""https://docs.google.com/spreadsheets/d/1QqKyyYR6Q21VydFLVH3TRQUabQu_ym0Zz7PgGX0-kHA/edit?usp=sharing"",""แผน!IL50"")"),39)</f>
        <v>39</v>
      </c>
      <c r="J723" s="863">
        <f ca="1">IFERROR(__xludf.DUMMYFUNCTION("IMPORTRANGE(""https://docs.google.com/spreadsheets/d/1XWAQStnk-4SwqDmLtmXYiTMKHgktTP8We1SCoS47DrQ/edit?usp=sharing"",""จัดที่ดิน!BM50"")"),0)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IFERROR(__xludf.DUMMYFUNCTION("IMPORTRANGE(""https://docs.google.com/spreadsheets/d/1XWAQStnk-4SwqDmLtmXYiTMKHgktTP8We1SCoS47DrQ/edit?usp=sharing"",""จัดที่ดิน!BN50"")"),0)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IFERROR(__xludf.DUMMYFUNCTION("IMPORTRANGE(""https://docs.google.com/spreadsheets/d/1QqKyyYR6Q21VydFLVH3TRQUabQu_ym0Zz7PgGX0-kHA/edit?usp=sharing"",""แผน!IM50"")"),410)</f>
        <v>410</v>
      </c>
      <c r="J725" s="863">
        <f ca="1">IFERROR(__xludf.DUMMYFUNCTION("IMPORTRANGE(""https://docs.google.com/spreadsheets/d/1XWAQStnk-4SwqDmLtmXYiTMKHgktTP8We1SCoS47DrQ/edit?usp=sharing"",""จัดที่ดิน!BO50"")"),0)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IFERROR(__xludf.DUMMYFUNCTION("IMPORTRANGE(""https://docs.google.com/spreadsheets/d/1QqKyyYR6Q21VydFLVH3TRQUabQu_ym0Zz7PgGX0-kHA/edit?usp=sharing"",""แผน!IN50"")"),0)</f>
        <v>0</v>
      </c>
      <c r="J726" s="863">
        <f ca="1">IFERROR(__xludf.DUMMYFUNCTION("IMPORTRANGE(""https://docs.google.com/spreadsheets/d/1XWAQStnk-4SwqDmLtmXYiTMKHgktTP8We1SCoS47DrQ/edit?usp=sharing"",""จัดที่ดิน!BR50"")"),0)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IFERROR(__xludf.DUMMYFUNCTION("IMPORTRANGE(""https://docs.google.com/spreadsheets/d/1XWAQStnk-4SwqDmLtmXYiTMKHgktTP8We1SCoS47DrQ/edit?usp=sharing"",""จัดที่ดิน!BS50"")"),0)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IFERROR(__xludf.DUMMYFUNCTION("IMPORTRANGE(""https://docs.google.com/spreadsheets/d/1QqKyyYR6Q21VydFLVH3TRQUabQu_ym0Zz7PgGX0-kHA/edit?usp=sharing"",""แผน!IO50"")"),0)</f>
        <v>0</v>
      </c>
      <c r="J728" s="863">
        <f ca="1">IFERROR(__xludf.DUMMYFUNCTION("IMPORTRANGE(""https://docs.google.com/spreadsheets/d/1XWAQStnk-4SwqDmLtmXYiTMKHgktTP8We1SCoS47DrQ/edit?usp=sharing"",""จัดที่ดิน!BT50"")"),0)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IFERROR(__xludf.DUMMYFUNCTION("IMPORTRANGE(""https://docs.google.com/spreadsheets/d/1QqKyyYR6Q21VydFLVH3TRQUabQu_ym0Zz7PgGX0-kHA/edit?usp=sharing"",""แผน!IP50"")"),663)</f>
        <v>663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 hidden="1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1443" t="s">
        <v>46</v>
      </c>
      <c r="I785" s="1444">
        <f t="shared" ref="I785:J785" ca="1" si="318">I800</f>
        <v>0</v>
      </c>
      <c r="J785" s="1445">
        <f t="shared" ca="1" si="318"/>
        <v>0</v>
      </c>
      <c r="K785" s="1446">
        <f ca="1">IF(I785&gt;0,J785*100/I785,0)</f>
        <v>0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 hidden="1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592" t="s">
        <v>12</v>
      </c>
      <c r="I786" s="863"/>
      <c r="J786" s="863"/>
      <c r="K786" s="864"/>
      <c r="L786" s="1000">
        <f t="shared" ref="L786:N786" ca="1" si="319">L787+L788</f>
        <v>0</v>
      </c>
      <c r="M786" s="1000">
        <f t="shared" si="319"/>
        <v>0</v>
      </c>
      <c r="N786" s="1000">
        <f t="shared" si="319"/>
        <v>0</v>
      </c>
      <c r="O786" s="1000">
        <f t="shared" ref="O786:O791" ca="1" si="320">IF(L786&gt;0,N786*100/L786,0)</f>
        <v>0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165" t="s">
        <v>12</v>
      </c>
      <c r="I787" s="869"/>
      <c r="J787" s="869"/>
      <c r="K787" s="870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165" t="s">
        <v>12</v>
      </c>
      <c r="I788" s="869"/>
      <c r="J788" s="869"/>
      <c r="K788" s="870"/>
      <c r="L788" s="870">
        <f t="shared" ca="1" si="322"/>
        <v>0</v>
      </c>
      <c r="M788" s="870">
        <f t="shared" si="322"/>
        <v>0</v>
      </c>
      <c r="N788" s="870">
        <f t="shared" si="322"/>
        <v>0</v>
      </c>
      <c r="O788" s="870">
        <f t="shared" ca="1" si="320"/>
        <v>0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 hidden="1">
      <c r="A789" s="1292"/>
      <c r="B789" s="1275"/>
      <c r="C789" s="1275"/>
      <c r="D789" s="1299" t="s">
        <v>20</v>
      </c>
      <c r="E789" s="1276"/>
      <c r="F789" s="1276"/>
      <c r="G789" s="996"/>
      <c r="H789" s="161" t="s">
        <v>12</v>
      </c>
      <c r="I789" s="977"/>
      <c r="J789" s="977"/>
      <c r="K789" s="978"/>
      <c r="L789" s="864">
        <f t="shared" ref="L789:N789" ca="1" si="323">L790+L791</f>
        <v>0</v>
      </c>
      <c r="M789" s="864">
        <f t="shared" si="323"/>
        <v>0</v>
      </c>
      <c r="N789" s="864">
        <f t="shared" si="323"/>
        <v>0</v>
      </c>
      <c r="O789" s="864">
        <f t="shared" ca="1" si="320"/>
        <v>0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165" t="s">
        <v>12</v>
      </c>
      <c r="I790" s="869"/>
      <c r="J790" s="869"/>
      <c r="K790" s="870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165" t="s">
        <v>12</v>
      </c>
      <c r="I791" s="869"/>
      <c r="J791" s="869"/>
      <c r="K791" s="870"/>
      <c r="L791" s="870">
        <f ca="1">IFERROR(__xludf.DUMMYFUNCTION("IMPORTRANGE(""https://docs.google.com/spreadsheets/d/1QqKyyYR6Q21VydFLVH3TRQUabQu_ym0Zz7PgGX0-kHA/edit?usp=sharing"",""แผน!JJ50"")"),0)</f>
        <v>0</v>
      </c>
      <c r="M791" s="870">
        <v>0</v>
      </c>
      <c r="N791" s="870">
        <f>N792+N793+N794+N795</f>
        <v>0</v>
      </c>
      <c r="O791" s="870">
        <f t="shared" ca="1" si="320"/>
        <v>0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 hidden="1">
      <c r="A792" s="1274"/>
      <c r="B792" s="1275"/>
      <c r="C792" s="1276"/>
      <c r="D792" s="1276"/>
      <c r="E792" s="1276"/>
      <c r="F792" s="1276" t="s">
        <v>186</v>
      </c>
      <c r="G792" s="996"/>
      <c r="H792" s="161" t="s">
        <v>12</v>
      </c>
      <c r="I792" s="863"/>
      <c r="J792" s="863"/>
      <c r="K792" s="864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 hidden="1">
      <c r="A793" s="1274"/>
      <c r="B793" s="1275"/>
      <c r="C793" s="1276"/>
      <c r="D793" s="1276"/>
      <c r="E793" s="1276"/>
      <c r="F793" s="1276" t="s">
        <v>187</v>
      </c>
      <c r="G793" s="996"/>
      <c r="H793" s="161" t="s">
        <v>12</v>
      </c>
      <c r="I793" s="863"/>
      <c r="J793" s="863"/>
      <c r="K793" s="864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 hidden="1">
      <c r="A794" s="1274"/>
      <c r="B794" s="1275"/>
      <c r="C794" s="1276"/>
      <c r="D794" s="1276"/>
      <c r="E794" s="1276"/>
      <c r="F794" s="1276" t="s">
        <v>188</v>
      </c>
      <c r="G794" s="996"/>
      <c r="H794" s="161" t="s">
        <v>12</v>
      </c>
      <c r="I794" s="863"/>
      <c r="J794" s="863"/>
      <c r="K794" s="864"/>
      <c r="L794" s="864"/>
      <c r="M794" s="864"/>
      <c r="N794" s="1064">
        <v>0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 hidden="1">
      <c r="A795" s="1274"/>
      <c r="B795" s="1275"/>
      <c r="C795" s="1276"/>
      <c r="D795" s="1276"/>
      <c r="E795" s="1276"/>
      <c r="F795" s="1276" t="s">
        <v>189</v>
      </c>
      <c r="G795" s="996"/>
      <c r="H795" s="161" t="s">
        <v>12</v>
      </c>
      <c r="I795" s="863"/>
      <c r="J795" s="863"/>
      <c r="K795" s="864"/>
      <c r="L795" s="864"/>
      <c r="M795" s="864"/>
      <c r="N795" s="1064">
        <v>0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 hidden="1">
      <c r="A796" s="1292"/>
      <c r="B796" s="1275"/>
      <c r="C796" s="1276"/>
      <c r="D796" s="1299" t="s">
        <v>21</v>
      </c>
      <c r="E796" s="1276"/>
      <c r="F796" s="1276"/>
      <c r="G796" s="996"/>
      <c r="H796" s="168" t="s">
        <v>12</v>
      </c>
      <c r="I796" s="977"/>
      <c r="J796" s="977"/>
      <c r="K796" s="97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165" t="s">
        <v>12</v>
      </c>
      <c r="I797" s="980"/>
      <c r="J797" s="980"/>
      <c r="K797" s="981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169" t="s">
        <v>12</v>
      </c>
      <c r="I798" s="980"/>
      <c r="J798" s="980"/>
      <c r="K798" s="981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 hidden="1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48"/>
      <c r="I799" s="977"/>
      <c r="J799" s="977"/>
      <c r="K799" s="97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 hidden="1">
      <c r="A800" s="1300"/>
      <c r="B800" s="1301"/>
      <c r="C800" s="1301"/>
      <c r="D800" s="1301"/>
      <c r="E800" s="994"/>
      <c r="F800" s="994" t="s">
        <v>320</v>
      </c>
      <c r="G800" s="987"/>
      <c r="H800" s="185" t="s">
        <v>46</v>
      </c>
      <c r="I800" s="977">
        <f ca="1">IFERROR(__xludf.DUMMYFUNCTION("IMPORTRANGE(""https://docs.google.com/spreadsheets/d/1QqKyyYR6Q21VydFLVH3TRQUabQu_ym0Zz7PgGX0-kHA/edit?usp=sharing"",""แผน!JN50"")"),0)</f>
        <v>0</v>
      </c>
      <c r="J800" s="977">
        <f ca="1">IFERROR(__xludf.DUMMYFUNCTION("IMPORTRANGE(""https://docs.google.com/spreadsheets/d/1MaWodYyGHDf7siQLGxnXhG4mBNTNIuy296niS2xXulU/edit?usp=sharing"",""RTK!H50"")"),0)</f>
        <v>0</v>
      </c>
      <c r="K800" s="864">
        <f ca="1">IF(I800&gt;0,J800*100/I800,0)</f>
        <v>0</v>
      </c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 hidden="1">
      <c r="A801" s="1300"/>
      <c r="B801" s="1301"/>
      <c r="C801" s="1301"/>
      <c r="D801" s="1301"/>
      <c r="E801" s="994"/>
      <c r="F801" s="994"/>
      <c r="G801" s="987"/>
      <c r="H801" s="161" t="s">
        <v>34</v>
      </c>
      <c r="I801" s="977"/>
      <c r="J801" s="863">
        <f ca="1">IFERROR(__xludf.DUMMYFUNCTION("IMPORTRANGE(""https://docs.google.com/spreadsheets/d/1MaWodYyGHDf7siQLGxnXhG4mBNTNIuy296niS2xXulU/edit?usp=sharing"",""RTK!I50"")"),0)</f>
        <v>0</v>
      </c>
      <c r="K801" s="864"/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 hidden="1">
      <c r="A802" s="1306"/>
      <c r="B802" s="1307"/>
      <c r="C802" s="1307"/>
      <c r="D802" s="1307"/>
      <c r="E802" s="1295"/>
      <c r="F802" s="1295" t="s">
        <v>321</v>
      </c>
      <c r="G802" s="1092"/>
      <c r="H802" s="646" t="s">
        <v>46</v>
      </c>
      <c r="I802" s="980"/>
      <c r="J802" s="869"/>
      <c r="K802" s="981">
        <f>IF(I802&gt;0,J802*100/I802,0)</f>
        <v>0</v>
      </c>
      <c r="L802" s="981"/>
      <c r="M802" s="981"/>
      <c r="N802" s="981"/>
      <c r="O802" s="981"/>
      <c r="P802" s="981"/>
      <c r="Q802" s="1297"/>
      <c r="R802" s="1297"/>
      <c r="S802" s="1297"/>
      <c r="T802" s="1297"/>
      <c r="U802" s="1297"/>
      <c r="V802" s="1297"/>
      <c r="W802" s="1297"/>
      <c r="X802" s="1297"/>
      <c r="Y802" s="1297"/>
      <c r="Z802" s="1297"/>
    </row>
    <row r="803" spans="1:26" ht="18.75" hidden="1">
      <c r="A803" s="1306"/>
      <c r="B803" s="1307"/>
      <c r="C803" s="1307"/>
      <c r="D803" s="1307"/>
      <c r="E803" s="1295"/>
      <c r="F803" s="1295"/>
      <c r="G803" s="1092"/>
      <c r="H803" s="646" t="s">
        <v>34</v>
      </c>
      <c r="I803" s="980"/>
      <c r="J803" s="869"/>
      <c r="K803" s="981"/>
      <c r="L803" s="981"/>
      <c r="M803" s="981"/>
      <c r="N803" s="981"/>
      <c r="O803" s="981"/>
      <c r="P803" s="981"/>
      <c r="Q803" s="1297"/>
      <c r="R803" s="1297"/>
      <c r="S803" s="1297"/>
      <c r="T803" s="1297"/>
      <c r="U803" s="1297"/>
      <c r="V803" s="1297"/>
      <c r="W803" s="1297"/>
      <c r="X803" s="1297"/>
      <c r="Y803" s="1297"/>
      <c r="Z803" s="1297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>IF(I804&gt;0,J804*100/I804,0)</f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7">L806+L807</f>
        <v>0</v>
      </c>
      <c r="M805" s="1325">
        <f t="shared" si="327"/>
        <v>0</v>
      </c>
      <c r="N805" s="1325">
        <f t="shared" si="327"/>
        <v>0</v>
      </c>
      <c r="O805" s="1325">
        <f t="shared" ref="O805:O810" si="328">IF(L805&gt;0,N805*100/L805,0)</f>
        <v>0</v>
      </c>
      <c r="P805" s="1325">
        <f t="shared" ref="P805:P810" si="329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0">L809+L816</f>
        <v>0</v>
      </c>
      <c r="M806" s="870">
        <f t="shared" si="330"/>
        <v>0</v>
      </c>
      <c r="N806" s="870">
        <f t="shared" si="330"/>
        <v>0</v>
      </c>
      <c r="O806" s="870">
        <f t="shared" si="328"/>
        <v>0</v>
      </c>
      <c r="P806" s="870">
        <f t="shared" si="329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0"/>
        <v>0</v>
      </c>
      <c r="M807" s="870">
        <f t="shared" si="330"/>
        <v>0</v>
      </c>
      <c r="N807" s="870">
        <f t="shared" si="330"/>
        <v>0</v>
      </c>
      <c r="O807" s="870">
        <f t="shared" si="328"/>
        <v>0</v>
      </c>
      <c r="P807" s="870">
        <f t="shared" si="329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1">L809+L810</f>
        <v>0</v>
      </c>
      <c r="M808" s="1325">
        <f t="shared" si="331"/>
        <v>0</v>
      </c>
      <c r="N808" s="1325">
        <f t="shared" si="331"/>
        <v>0</v>
      </c>
      <c r="O808" s="1325">
        <f t="shared" si="328"/>
        <v>0</v>
      </c>
      <c r="P808" s="1325">
        <f t="shared" si="329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8"/>
        <v>0</v>
      </c>
      <c r="P809" s="870">
        <f t="shared" si="329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8"/>
        <v>0</v>
      </c>
      <c r="P810" s="870">
        <f t="shared" si="329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2">L816+L817</f>
        <v>0</v>
      </c>
      <c r="M815" s="1325">
        <f t="shared" si="332"/>
        <v>0</v>
      </c>
      <c r="N815" s="1325">
        <f t="shared" si="332"/>
        <v>0</v>
      </c>
      <c r="O815" s="1325">
        <f t="shared" ref="O815:O817" si="333">IF(L815&gt;0,N815*100/L815,0)</f>
        <v>0</v>
      </c>
      <c r="P815" s="1325">
        <f t="shared" ref="P815:P817" si="334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3"/>
        <v>0</v>
      </c>
      <c r="P816" s="870">
        <f t="shared" si="334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3"/>
        <v>0</v>
      </c>
      <c r="P817" s="870">
        <f t="shared" si="334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863">
        <f ca="1">IFERROR(__xludf.DUMMYFUNCTION("IMPORTRANGE(""https://docs.google.com/spreadsheets/d/19vJNZY_5yjcGF2XGBMNZRCAIB0Kwfpjp8YEOfu-bneM/edit?usp=sharing"",""งานกองทุน!F50"")"),2036228.99)</f>
        <v>2036228.99</v>
      </c>
      <c r="K821" s="864">
        <f t="shared" ref="K821:K828" ca="1" si="335">IF(I821&gt;0,J821*100/I821,0)</f>
        <v>43.166150328818063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IFERROR(__xludf.DUMMYFUNCTION("IMPORTRANGE(""https://docs.google.com/spreadsheets/d/19vJNZY_5yjcGF2XGBMNZRCAIB0Kwfpjp8YEOfu-bneM/edit?usp=sharing"",""งานกองทุน!C50"")"),344)</f>
        <v>344</v>
      </c>
      <c r="J822" s="863">
        <f ca="1">IFERROR(__xludf.DUMMYFUNCTION("IMPORTRANGE(""https://docs.google.com/spreadsheets/d/19vJNZY_5yjcGF2XGBMNZRCAIB0Kwfpjp8YEOfu-bneM/edit?usp=sharing"",""งานกองทุน!E50"")"),138)</f>
        <v>138</v>
      </c>
      <c r="K822" s="864">
        <f t="shared" ca="1" si="335"/>
        <v>40.116279069767444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863">
        <f ca="1">IFERROR(__xludf.DUMMYFUNCTION("IMPORTRANGE(""https://docs.google.com/spreadsheets/d/19vJNZY_5yjcGF2XGBMNZRCAIB0Kwfpjp8YEOfu-bneM/edit?usp=sharing"",""งานกองทุน!K50"")"),448370.08)</f>
        <v>448370.08</v>
      </c>
      <c r="K823" s="864">
        <f t="shared" ca="1" si="335"/>
        <v>18.311942489932989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IFERROR(__xludf.DUMMYFUNCTION("IMPORTRANGE(""https://docs.google.com/spreadsheets/d/19vJNZY_5yjcGF2XGBMNZRCAIB0Kwfpjp8YEOfu-bneM/edit?usp=sharing"",""งานกองทุน!H50"")"),135)</f>
        <v>135</v>
      </c>
      <c r="J824" s="863">
        <f ca="1">IFERROR(__xludf.DUMMYFUNCTION("IMPORTRANGE(""https://docs.google.com/spreadsheets/d/19vJNZY_5yjcGF2XGBMNZRCAIB0Kwfpjp8YEOfu-bneM/edit?usp=sharing"",""งานกองทุน!J50"")"),32)</f>
        <v>32</v>
      </c>
      <c r="K824" s="864">
        <f t="shared" ca="1" si="335"/>
        <v>23.703703703703702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IFERROR(__xludf.DUMMYFUNCTION("IMPORTRANGE(""https://docs.google.com/spreadsheets/d/19vJNZY_5yjcGF2XGBMNZRCAIB0Kwfpjp8YEOfu-bneM/edit?usp=sharing"",""งานกองทุน!N50"")"),323073.26)</f>
        <v>323073.26</v>
      </c>
      <c r="J825" s="863">
        <f ca="1">IFERROR(__xludf.DUMMYFUNCTION("IMPORTRANGE(""https://docs.google.com/spreadsheets/d/19vJNZY_5yjcGF2XGBMNZRCAIB0Kwfpjp8YEOfu-bneM/edit?usp=sharing"",""งานกองทุน!P50"")"),25419.05)</f>
        <v>25419.05</v>
      </c>
      <c r="K825" s="864">
        <f t="shared" ca="1" si="335"/>
        <v>7.8678903973668382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IFERROR(__xludf.DUMMYFUNCTION("IMPORTRANGE(""https://docs.google.com/spreadsheets/d/19vJNZY_5yjcGF2XGBMNZRCAIB0Kwfpjp8YEOfu-bneM/edit?usp=sharing"",""งานกองทุน!M50"")"),16)</f>
        <v>16</v>
      </c>
      <c r="J826" s="863">
        <f ca="1">IFERROR(__xludf.DUMMYFUNCTION("IMPORTRANGE(""https://docs.google.com/spreadsheets/d/19vJNZY_5yjcGF2XGBMNZRCAIB0Kwfpjp8YEOfu-bneM/edit?usp=sharing"",""งานกองทุน!O50"")"),6)</f>
        <v>6</v>
      </c>
      <c r="K826" s="864">
        <f t="shared" ca="1" si="335"/>
        <v>37.5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IFERROR(__xludf.DUMMYFUNCTION("IMPORTRANGE(""https://docs.google.com/spreadsheets/d/19vJNZY_5yjcGF2XGBMNZRCAIB0Kwfpjp8YEOfu-bneM/edit?usp=sharing"",""งานกองทุน!S50"")"),6100000)</f>
        <v>6100000</v>
      </c>
      <c r="J827" s="863">
        <f ca="1">IFERROR(__xludf.DUMMYFUNCTION("IMPORTRANGE(""https://docs.google.com/spreadsheets/d/19vJNZY_5yjcGF2XGBMNZRCAIB0Kwfpjp8YEOfu-bneM/edit?usp=sharing"",""งานกองทุน!U50"")"),1110000)</f>
        <v>1110000</v>
      </c>
      <c r="K827" s="864">
        <f t="shared" ca="1" si="335"/>
        <v>18.196721311475411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IFERROR(__xludf.DUMMYFUNCTION("IMPORTRANGE(""https://docs.google.com/spreadsheets/d/19vJNZY_5yjcGF2XGBMNZRCAIB0Kwfpjp8YEOfu-bneM/edit?usp=sharing"",""งานกองทุน!R50"")"),244)</f>
        <v>244</v>
      </c>
      <c r="J828" s="1117">
        <f ca="1">IFERROR(__xludf.DUMMYFUNCTION("IMPORTRANGE(""https://docs.google.com/spreadsheets/d/19vJNZY_5yjcGF2XGBMNZRCAIB0Kwfpjp8YEOfu-bneM/edit?usp=sharing"",""งานกองทุน!T50"")"),39)</f>
        <v>39</v>
      </c>
      <c r="K828" s="1215">
        <f t="shared" ca="1" si="335"/>
        <v>15.983606557377049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5E2E-3839-414B-B7E8-E6621AE0D709}">
  <sheetPr>
    <outlinePr summaryBelow="0" summaryRight="0"/>
    <pageSetUpPr fitToPage="1"/>
  </sheetPr>
  <dimension ref="A1:Z828"/>
  <sheetViews>
    <sheetView view="pageBreakPreview" zoomScale="60" zoomScaleNormal="85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style="836" customWidth="1"/>
    <col min="4" max="6" width="5.85546875" style="836" customWidth="1"/>
    <col min="7" max="7" width="56.42578125" style="836" customWidth="1"/>
    <col min="8" max="8" width="9.42578125" style="836" customWidth="1"/>
    <col min="9" max="10" width="16.85546875" style="836" bestFit="1" customWidth="1"/>
    <col min="11" max="11" width="12.5703125" style="836" bestFit="1" customWidth="1"/>
    <col min="12" max="14" width="21.28515625" style="836" bestFit="1" customWidth="1"/>
    <col min="15" max="15" width="20.140625" style="836" bestFit="1" customWidth="1"/>
    <col min="16" max="16" width="22" style="836" bestFit="1" customWidth="1"/>
    <col min="17" max="16384" width="12.5703125" style="836"/>
  </cols>
  <sheetData>
    <row r="1" spans="1:26" ht="19.5">
      <c r="A1" s="1546" t="s">
        <v>0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  <c r="N1" s="1564"/>
      <c r="O1" s="1564"/>
      <c r="P1" s="1564"/>
    </row>
    <row r="2" spans="1:26" ht="19.5">
      <c r="A2" s="1546" t="s">
        <v>356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</row>
    <row r="3" spans="1:26" ht="19.5">
      <c r="A3" s="1546" t="s">
        <v>329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</row>
    <row r="4" spans="1:26" ht="12.75">
      <c r="A4" s="837"/>
      <c r="B4" s="837"/>
      <c r="C4" s="837"/>
      <c r="D4" s="837"/>
      <c r="E4" s="837"/>
      <c r="F4" s="837"/>
      <c r="G4" s="837"/>
      <c r="H4" s="837"/>
      <c r="I4" s="837"/>
      <c r="J4" s="838"/>
      <c r="K4" s="839"/>
      <c r="L4" s="838"/>
      <c r="M4" s="838"/>
      <c r="N4" s="838"/>
      <c r="O4" s="837"/>
      <c r="P4" s="837"/>
    </row>
    <row r="5" spans="1:26" ht="19.5">
      <c r="A5" s="1552" t="s">
        <v>2</v>
      </c>
      <c r="B5" s="1564"/>
      <c r="C5" s="1564"/>
      <c r="D5" s="1564"/>
      <c r="E5" s="1564"/>
      <c r="F5" s="1564"/>
      <c r="G5" s="1553"/>
      <c r="H5" s="1548" t="s">
        <v>3</v>
      </c>
      <c r="I5" s="1549" t="s">
        <v>4</v>
      </c>
      <c r="J5" s="1542"/>
      <c r="K5" s="1543"/>
      <c r="L5" s="1550" t="s">
        <v>5</v>
      </c>
      <c r="M5" s="1543"/>
      <c r="N5" s="1551" t="s">
        <v>6</v>
      </c>
      <c r="O5" s="1542"/>
      <c r="P5" s="1543"/>
    </row>
    <row r="6" spans="1:26" ht="19.5">
      <c r="A6" s="1554"/>
      <c r="B6" s="1542"/>
      <c r="C6" s="1542"/>
      <c r="D6" s="1542"/>
      <c r="E6" s="1542"/>
      <c r="F6" s="1542"/>
      <c r="G6" s="1543"/>
      <c r="H6" s="154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1559" t="s">
        <v>15</v>
      </c>
      <c r="B7" s="1542"/>
      <c r="C7" s="1542"/>
      <c r="D7" s="1542"/>
      <c r="E7" s="1542"/>
      <c r="F7" s="1542"/>
      <c r="G7" s="1543"/>
      <c r="H7" s="840"/>
      <c r="I7" s="841"/>
      <c r="J7" s="841"/>
      <c r="K7" s="842"/>
      <c r="L7" s="842"/>
      <c r="M7" s="842"/>
      <c r="N7" s="842"/>
      <c r="O7" s="842"/>
      <c r="P7" s="842"/>
    </row>
    <row r="8" spans="1:26" ht="19.5">
      <c r="A8" s="843"/>
      <c r="B8" s="844"/>
      <c r="C8" s="845" t="s">
        <v>16</v>
      </c>
      <c r="D8" s="846" t="s">
        <v>17</v>
      </c>
      <c r="E8" s="844"/>
      <c r="F8" s="844"/>
      <c r="G8" s="847"/>
      <c r="H8" s="19" t="s">
        <v>12</v>
      </c>
      <c r="I8" s="848"/>
      <c r="J8" s="848"/>
      <c r="K8" s="849"/>
      <c r="L8" s="850">
        <f t="shared" ref="L8:N8" ca="1" si="0">L9+L10</f>
        <v>9554361</v>
      </c>
      <c r="M8" s="850">
        <f t="shared" ca="1" si="0"/>
        <v>5278384</v>
      </c>
      <c r="N8" s="850">
        <f t="shared" ca="1" si="0"/>
        <v>5047719.75</v>
      </c>
      <c r="O8" s="850">
        <f t="shared" ref="O8:O16" ca="1" si="1">IF(L8&gt;0,N8*100/L8,0)</f>
        <v>52.831578689563855</v>
      </c>
      <c r="P8" s="850">
        <f t="shared" ref="P8:P16" ca="1" si="2">IF(M8&gt;0,N8*100/M8,0)</f>
        <v>95.630021423223468</v>
      </c>
      <c r="Q8" s="851"/>
      <c r="R8" s="851"/>
      <c r="S8" s="851"/>
      <c r="T8" s="851"/>
      <c r="U8" s="851"/>
      <c r="V8" s="851"/>
      <c r="W8" s="851"/>
      <c r="X8" s="851"/>
      <c r="Y8" s="851"/>
      <c r="Z8" s="851"/>
    </row>
    <row r="9" spans="1:26" ht="18.75" hidden="1">
      <c r="A9" s="852"/>
      <c r="B9" s="853"/>
      <c r="C9" s="853"/>
      <c r="D9" s="853"/>
      <c r="E9" s="854" t="s">
        <v>18</v>
      </c>
      <c r="F9" s="853"/>
      <c r="G9" s="855"/>
      <c r="H9" s="28" t="s">
        <v>12</v>
      </c>
      <c r="I9" s="856"/>
      <c r="J9" s="856"/>
      <c r="K9" s="857"/>
      <c r="L9" s="857">
        <f t="shared" ref="L9:N10" si="3">L12+L15</f>
        <v>0</v>
      </c>
      <c r="M9" s="857">
        <f t="shared" si="3"/>
        <v>0</v>
      </c>
      <c r="N9" s="857">
        <f t="shared" si="3"/>
        <v>0</v>
      </c>
      <c r="O9" s="857">
        <f t="shared" si="1"/>
        <v>0</v>
      </c>
      <c r="P9" s="857">
        <f t="shared" si="2"/>
        <v>0</v>
      </c>
      <c r="Q9" s="858"/>
      <c r="R9" s="858"/>
      <c r="S9" s="858"/>
      <c r="T9" s="858"/>
      <c r="U9" s="858"/>
      <c r="V9" s="858"/>
      <c r="W9" s="858"/>
      <c r="X9" s="858"/>
      <c r="Y9" s="858"/>
      <c r="Z9" s="858"/>
    </row>
    <row r="10" spans="1:26" ht="18.75" hidden="1">
      <c r="A10" s="852"/>
      <c r="B10" s="853"/>
      <c r="C10" s="853"/>
      <c r="D10" s="853"/>
      <c r="E10" s="854" t="s">
        <v>19</v>
      </c>
      <c r="F10" s="853"/>
      <c r="G10" s="855"/>
      <c r="H10" s="28" t="s">
        <v>12</v>
      </c>
      <c r="I10" s="856"/>
      <c r="J10" s="856"/>
      <c r="K10" s="857"/>
      <c r="L10" s="857">
        <f t="shared" ca="1" si="3"/>
        <v>9554361</v>
      </c>
      <c r="M10" s="857">
        <f t="shared" ca="1" si="3"/>
        <v>5278384</v>
      </c>
      <c r="N10" s="857">
        <f t="shared" ca="1" si="3"/>
        <v>5047719.75</v>
      </c>
      <c r="O10" s="857">
        <f t="shared" ca="1" si="1"/>
        <v>52.831578689563855</v>
      </c>
      <c r="P10" s="857">
        <f t="shared" ca="1" si="2"/>
        <v>95.630021423223468</v>
      </c>
      <c r="Q10" s="858"/>
      <c r="R10" s="858"/>
      <c r="S10" s="858"/>
      <c r="T10" s="858"/>
      <c r="U10" s="858"/>
      <c r="V10" s="858"/>
      <c r="W10" s="858"/>
      <c r="X10" s="858"/>
      <c r="Y10" s="858"/>
      <c r="Z10" s="858"/>
    </row>
    <row r="11" spans="1:26" ht="18.75">
      <c r="A11" s="859"/>
      <c r="B11" s="860"/>
      <c r="C11" s="860"/>
      <c r="D11" s="861" t="s">
        <v>20</v>
      </c>
      <c r="E11" s="860"/>
      <c r="F11" s="860"/>
      <c r="G11" s="862"/>
      <c r="H11" s="617" t="s">
        <v>12</v>
      </c>
      <c r="I11" s="863"/>
      <c r="J11" s="863"/>
      <c r="K11" s="864"/>
      <c r="L11" s="864">
        <f t="shared" ref="L11:N11" ca="1" si="4">L12+L13</f>
        <v>8579361</v>
      </c>
      <c r="M11" s="864">
        <f t="shared" ca="1" si="4"/>
        <v>4334392</v>
      </c>
      <c r="N11" s="864">
        <f t="shared" ca="1" si="4"/>
        <v>4103727.75</v>
      </c>
      <c r="O11" s="864">
        <f t="shared" ca="1" si="1"/>
        <v>47.832557110022528</v>
      </c>
      <c r="P11" s="864">
        <f t="shared" ca="1" si="2"/>
        <v>94.678278983534483</v>
      </c>
      <c r="Q11" s="851"/>
      <c r="R11" s="851"/>
      <c r="S11" s="851"/>
      <c r="T11" s="851"/>
      <c r="U11" s="851"/>
      <c r="V11" s="851"/>
      <c r="W11" s="851"/>
      <c r="X11" s="851"/>
      <c r="Y11" s="851"/>
      <c r="Z11" s="851"/>
    </row>
    <row r="12" spans="1:26" ht="18.75" hidden="1">
      <c r="A12" s="865"/>
      <c r="B12" s="866"/>
      <c r="C12" s="866"/>
      <c r="D12" s="866"/>
      <c r="E12" s="867" t="s">
        <v>18</v>
      </c>
      <c r="F12" s="866"/>
      <c r="G12" s="868"/>
      <c r="H12" s="43" t="s">
        <v>12</v>
      </c>
      <c r="I12" s="869"/>
      <c r="J12" s="869"/>
      <c r="K12" s="870"/>
      <c r="L12" s="870">
        <f t="shared" ref="L12:N13" si="5">L22+L32</f>
        <v>0</v>
      </c>
      <c r="M12" s="870">
        <f t="shared" si="5"/>
        <v>0</v>
      </c>
      <c r="N12" s="870">
        <f t="shared" si="5"/>
        <v>0</v>
      </c>
      <c r="O12" s="870">
        <f t="shared" si="1"/>
        <v>0</v>
      </c>
      <c r="P12" s="870">
        <f t="shared" si="2"/>
        <v>0</v>
      </c>
      <c r="Q12" s="858"/>
      <c r="R12" s="858"/>
      <c r="S12" s="858"/>
      <c r="T12" s="858"/>
      <c r="U12" s="858"/>
      <c r="V12" s="858"/>
      <c r="W12" s="858"/>
      <c r="X12" s="858"/>
      <c r="Y12" s="858"/>
      <c r="Z12" s="858"/>
    </row>
    <row r="13" spans="1:26" ht="18.75" hidden="1">
      <c r="A13" s="865"/>
      <c r="B13" s="866"/>
      <c r="C13" s="866"/>
      <c r="D13" s="866"/>
      <c r="E13" s="867" t="s">
        <v>19</v>
      </c>
      <c r="F13" s="866"/>
      <c r="G13" s="868"/>
      <c r="H13" s="43" t="s">
        <v>12</v>
      </c>
      <c r="I13" s="869"/>
      <c r="J13" s="869"/>
      <c r="K13" s="870"/>
      <c r="L13" s="870">
        <f t="shared" ca="1" si="5"/>
        <v>8579361</v>
      </c>
      <c r="M13" s="870">
        <f t="shared" ca="1" si="5"/>
        <v>4334392</v>
      </c>
      <c r="N13" s="870">
        <f t="shared" ca="1" si="5"/>
        <v>4103727.75</v>
      </c>
      <c r="O13" s="870">
        <f t="shared" ca="1" si="1"/>
        <v>47.832557110022528</v>
      </c>
      <c r="P13" s="870">
        <f t="shared" ca="1" si="2"/>
        <v>94.678278983534483</v>
      </c>
      <c r="Q13" s="858"/>
      <c r="R13" s="858"/>
      <c r="S13" s="858"/>
      <c r="T13" s="858"/>
      <c r="U13" s="858"/>
      <c r="V13" s="858"/>
      <c r="W13" s="858"/>
      <c r="X13" s="858"/>
      <c r="Y13" s="858"/>
      <c r="Z13" s="858"/>
    </row>
    <row r="14" spans="1:26" ht="18.75">
      <c r="A14" s="859"/>
      <c r="B14" s="860"/>
      <c r="C14" s="860"/>
      <c r="D14" s="861" t="s">
        <v>21</v>
      </c>
      <c r="E14" s="860"/>
      <c r="F14" s="860"/>
      <c r="G14" s="862"/>
      <c r="H14" s="617" t="s">
        <v>12</v>
      </c>
      <c r="I14" s="863"/>
      <c r="J14" s="863"/>
      <c r="K14" s="864"/>
      <c r="L14" s="864">
        <f t="shared" ref="L14:N14" ca="1" si="6">L15+L16</f>
        <v>975000</v>
      </c>
      <c r="M14" s="864">
        <f t="shared" ca="1" si="6"/>
        <v>943992</v>
      </c>
      <c r="N14" s="864">
        <f t="shared" ca="1" si="6"/>
        <v>943992</v>
      </c>
      <c r="O14" s="864">
        <f t="shared" ca="1" si="1"/>
        <v>96.819692307692307</v>
      </c>
      <c r="P14" s="864">
        <f t="shared" ca="1" si="2"/>
        <v>100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</row>
    <row r="15" spans="1:26" ht="18.75" hidden="1">
      <c r="A15" s="865"/>
      <c r="B15" s="866"/>
      <c r="C15" s="866"/>
      <c r="D15" s="866"/>
      <c r="E15" s="867" t="s">
        <v>18</v>
      </c>
      <c r="F15" s="866"/>
      <c r="G15" s="868"/>
      <c r="H15" s="43" t="s">
        <v>12</v>
      </c>
      <c r="I15" s="869"/>
      <c r="J15" s="869"/>
      <c r="K15" s="870"/>
      <c r="L15" s="870">
        <f t="shared" ref="L15:N16" si="7">L25+L35</f>
        <v>0</v>
      </c>
      <c r="M15" s="870">
        <f t="shared" si="7"/>
        <v>0</v>
      </c>
      <c r="N15" s="870">
        <f t="shared" si="7"/>
        <v>0</v>
      </c>
      <c r="O15" s="870">
        <f t="shared" si="1"/>
        <v>0</v>
      </c>
      <c r="P15" s="870">
        <f t="shared" si="2"/>
        <v>0</v>
      </c>
      <c r="Q15" s="858"/>
      <c r="R15" s="858"/>
      <c r="S15" s="858"/>
      <c r="T15" s="858"/>
      <c r="U15" s="858"/>
      <c r="V15" s="858"/>
      <c r="W15" s="858"/>
      <c r="X15" s="858"/>
      <c r="Y15" s="858"/>
      <c r="Z15" s="858"/>
    </row>
    <row r="16" spans="1:26" ht="18.75" hidden="1">
      <c r="A16" s="871"/>
      <c r="B16" s="872"/>
      <c r="C16" s="872"/>
      <c r="D16" s="872"/>
      <c r="E16" s="873" t="s">
        <v>19</v>
      </c>
      <c r="F16" s="872"/>
      <c r="G16" s="874"/>
      <c r="H16" s="50" t="s">
        <v>12</v>
      </c>
      <c r="I16" s="875"/>
      <c r="J16" s="875"/>
      <c r="K16" s="876"/>
      <c r="L16" s="876">
        <f t="shared" ca="1" si="7"/>
        <v>975000</v>
      </c>
      <c r="M16" s="876">
        <f t="shared" ca="1" si="7"/>
        <v>943992</v>
      </c>
      <c r="N16" s="876">
        <f t="shared" ca="1" si="7"/>
        <v>943992</v>
      </c>
      <c r="O16" s="876">
        <f t="shared" ca="1" si="1"/>
        <v>96.819692307692307</v>
      </c>
      <c r="P16" s="876">
        <f t="shared" ca="1" si="2"/>
        <v>100</v>
      </c>
      <c r="Q16" s="858"/>
      <c r="R16" s="858"/>
      <c r="S16" s="858"/>
      <c r="T16" s="858"/>
      <c r="U16" s="858"/>
      <c r="V16" s="858"/>
      <c r="W16" s="858"/>
      <c r="X16" s="858"/>
      <c r="Y16" s="858"/>
      <c r="Z16" s="858"/>
    </row>
    <row r="17" spans="1:26" ht="19.5">
      <c r="A17" s="1559" t="s">
        <v>22</v>
      </c>
      <c r="B17" s="1542"/>
      <c r="C17" s="1542"/>
      <c r="D17" s="1542"/>
      <c r="E17" s="1542"/>
      <c r="F17" s="1542"/>
      <c r="G17" s="1543"/>
      <c r="H17" s="840"/>
      <c r="I17" s="841"/>
      <c r="J17" s="841"/>
      <c r="K17" s="842"/>
      <c r="L17" s="842"/>
      <c r="M17" s="842"/>
      <c r="N17" s="842"/>
      <c r="O17" s="842"/>
      <c r="P17" s="842"/>
    </row>
    <row r="18" spans="1:26" ht="19.5">
      <c r="A18" s="843"/>
      <c r="B18" s="844"/>
      <c r="C18" s="845" t="s">
        <v>16</v>
      </c>
      <c r="D18" s="846" t="s">
        <v>17</v>
      </c>
      <c r="E18" s="844"/>
      <c r="F18" s="844"/>
      <c r="G18" s="847"/>
      <c r="H18" s="19" t="s">
        <v>12</v>
      </c>
      <c r="I18" s="848"/>
      <c r="J18" s="848"/>
      <c r="K18" s="849"/>
      <c r="L18" s="850">
        <f t="shared" ref="L18:N18" ca="1" si="8">L19+L20</f>
        <v>6275519</v>
      </c>
      <c r="M18" s="850">
        <f t="shared" ca="1" si="8"/>
        <v>5278384</v>
      </c>
      <c r="N18" s="850">
        <f t="shared" ca="1" si="8"/>
        <v>3664463.88</v>
      </c>
      <c r="O18" s="850">
        <f t="shared" ref="O18:O26" ca="1" si="9">IF(L18&gt;0,N18*100/L18,0)</f>
        <v>58.39300112070412</v>
      </c>
      <c r="P18" s="850">
        <f t="shared" ref="P18:P26" ca="1" si="10">IF(M18&gt;0,N18*100/M18,0)</f>
        <v>69.423972943234148</v>
      </c>
      <c r="Q18" s="851"/>
      <c r="R18" s="851"/>
      <c r="S18" s="851"/>
      <c r="T18" s="851"/>
      <c r="U18" s="851"/>
      <c r="V18" s="851"/>
      <c r="W18" s="851"/>
      <c r="X18" s="851"/>
      <c r="Y18" s="851"/>
      <c r="Z18" s="851"/>
    </row>
    <row r="19" spans="1:26" ht="18.75" hidden="1">
      <c r="A19" s="852"/>
      <c r="B19" s="853"/>
      <c r="C19" s="853"/>
      <c r="D19" s="853"/>
      <c r="E19" s="854" t="s">
        <v>18</v>
      </c>
      <c r="F19" s="853"/>
      <c r="G19" s="855"/>
      <c r="H19" s="28" t="s">
        <v>12</v>
      </c>
      <c r="I19" s="856"/>
      <c r="J19" s="856"/>
      <c r="K19" s="857"/>
      <c r="L19" s="857">
        <f t="shared" ref="L19:N20" si="11">L22+L25</f>
        <v>0</v>
      </c>
      <c r="M19" s="857">
        <f t="shared" si="11"/>
        <v>0</v>
      </c>
      <c r="N19" s="857">
        <f t="shared" si="11"/>
        <v>0</v>
      </c>
      <c r="O19" s="857">
        <f t="shared" si="9"/>
        <v>0</v>
      </c>
      <c r="P19" s="857">
        <f t="shared" si="10"/>
        <v>0</v>
      </c>
      <c r="Q19" s="858"/>
      <c r="R19" s="858"/>
      <c r="S19" s="858"/>
      <c r="T19" s="858"/>
      <c r="U19" s="858"/>
      <c r="V19" s="858"/>
      <c r="W19" s="858"/>
      <c r="X19" s="858"/>
      <c r="Y19" s="858"/>
      <c r="Z19" s="858"/>
    </row>
    <row r="20" spans="1:26" ht="18.75" hidden="1">
      <c r="A20" s="852"/>
      <c r="B20" s="853"/>
      <c r="C20" s="853"/>
      <c r="D20" s="853"/>
      <c r="E20" s="854" t="s">
        <v>19</v>
      </c>
      <c r="F20" s="853"/>
      <c r="G20" s="855"/>
      <c r="H20" s="28" t="s">
        <v>12</v>
      </c>
      <c r="I20" s="856"/>
      <c r="J20" s="856"/>
      <c r="K20" s="857"/>
      <c r="L20" s="857">
        <f t="shared" ca="1" si="11"/>
        <v>6275519</v>
      </c>
      <c r="M20" s="857">
        <f t="shared" ca="1" si="11"/>
        <v>5278384</v>
      </c>
      <c r="N20" s="857">
        <f t="shared" ca="1" si="11"/>
        <v>3664463.88</v>
      </c>
      <c r="O20" s="857">
        <f t="shared" ca="1" si="9"/>
        <v>58.39300112070412</v>
      </c>
      <c r="P20" s="857">
        <f t="shared" ca="1" si="10"/>
        <v>69.423972943234148</v>
      </c>
      <c r="Q20" s="858"/>
      <c r="R20" s="858"/>
      <c r="S20" s="858"/>
      <c r="T20" s="858"/>
      <c r="U20" s="858"/>
      <c r="V20" s="858"/>
      <c r="W20" s="858"/>
      <c r="X20" s="858"/>
      <c r="Y20" s="858"/>
      <c r="Z20" s="858"/>
    </row>
    <row r="21" spans="1:26" ht="18.75">
      <c r="A21" s="859"/>
      <c r="B21" s="860"/>
      <c r="C21" s="860"/>
      <c r="D21" s="861" t="s">
        <v>20</v>
      </c>
      <c r="E21" s="860"/>
      <c r="F21" s="860"/>
      <c r="G21" s="862"/>
      <c r="H21" s="617" t="s">
        <v>12</v>
      </c>
      <c r="I21" s="863"/>
      <c r="J21" s="863"/>
      <c r="K21" s="864"/>
      <c r="L21" s="864">
        <f t="shared" ref="L21:N21" ca="1" si="12">L22+L23</f>
        <v>5300519</v>
      </c>
      <c r="M21" s="864">
        <f t="shared" ca="1" si="12"/>
        <v>4334392</v>
      </c>
      <c r="N21" s="864">
        <f t="shared" ca="1" si="12"/>
        <v>2720471.88</v>
      </c>
      <c r="O21" s="864">
        <f t="shared" ca="1" si="9"/>
        <v>51.324632172811754</v>
      </c>
      <c r="P21" s="864">
        <f t="shared" ca="1" si="10"/>
        <v>62.764786387571775</v>
      </c>
      <c r="Q21" s="851"/>
      <c r="R21" s="851"/>
      <c r="S21" s="851"/>
      <c r="T21" s="851"/>
      <c r="U21" s="851"/>
      <c r="V21" s="851"/>
      <c r="W21" s="851"/>
      <c r="X21" s="851"/>
      <c r="Y21" s="851"/>
      <c r="Z21" s="851"/>
    </row>
    <row r="22" spans="1:26" ht="18.75" hidden="1">
      <c r="A22" s="865"/>
      <c r="B22" s="866"/>
      <c r="C22" s="866"/>
      <c r="D22" s="866"/>
      <c r="E22" s="867" t="s">
        <v>18</v>
      </c>
      <c r="F22" s="866"/>
      <c r="G22" s="868"/>
      <c r="H22" s="43" t="s">
        <v>12</v>
      </c>
      <c r="I22" s="869"/>
      <c r="J22" s="869"/>
      <c r="K22" s="870"/>
      <c r="L22" s="870">
        <f t="shared" ref="L22:N23" si="13">L45+L57+L70+L92+L123+L136+L153+L185+L169+L265+L281+L302+L319+L332+L349+L393+L406</f>
        <v>0</v>
      </c>
      <c r="M22" s="870">
        <f t="shared" si="13"/>
        <v>0</v>
      </c>
      <c r="N22" s="870">
        <f t="shared" si="13"/>
        <v>0</v>
      </c>
      <c r="O22" s="870">
        <f t="shared" si="9"/>
        <v>0</v>
      </c>
      <c r="P22" s="870">
        <f t="shared" si="10"/>
        <v>0</v>
      </c>
      <c r="Q22" s="858"/>
      <c r="R22" s="858"/>
      <c r="S22" s="858"/>
      <c r="T22" s="858"/>
      <c r="U22" s="858"/>
      <c r="V22" s="858"/>
      <c r="W22" s="858"/>
      <c r="X22" s="858"/>
      <c r="Y22" s="858"/>
      <c r="Z22" s="858"/>
    </row>
    <row r="23" spans="1:26" ht="18.75" hidden="1">
      <c r="A23" s="865"/>
      <c r="B23" s="866"/>
      <c r="C23" s="866"/>
      <c r="D23" s="866"/>
      <c r="E23" s="867" t="s">
        <v>19</v>
      </c>
      <c r="F23" s="866"/>
      <c r="G23" s="868"/>
      <c r="H23" s="43" t="s">
        <v>12</v>
      </c>
      <c r="I23" s="869"/>
      <c r="J23" s="869"/>
      <c r="K23" s="870"/>
      <c r="L23" s="870">
        <f t="shared" ca="1" si="13"/>
        <v>5300519</v>
      </c>
      <c r="M23" s="870">
        <f t="shared" ca="1" si="13"/>
        <v>4334392</v>
      </c>
      <c r="N23" s="870">
        <f t="shared" ca="1" si="13"/>
        <v>2720471.88</v>
      </c>
      <c r="O23" s="870">
        <f t="shared" ca="1" si="9"/>
        <v>51.324632172811754</v>
      </c>
      <c r="P23" s="870">
        <f t="shared" ca="1" si="10"/>
        <v>62.764786387571775</v>
      </c>
      <c r="Q23" s="858"/>
      <c r="R23" s="858"/>
      <c r="S23" s="858"/>
      <c r="T23" s="858"/>
      <c r="U23" s="858"/>
      <c r="V23" s="858"/>
      <c r="W23" s="858"/>
      <c r="X23" s="858"/>
      <c r="Y23" s="858"/>
      <c r="Z23" s="858"/>
    </row>
    <row r="24" spans="1:26" ht="18.75">
      <c r="A24" s="859"/>
      <c r="B24" s="860"/>
      <c r="C24" s="860"/>
      <c r="D24" s="861" t="s">
        <v>21</v>
      </c>
      <c r="E24" s="860"/>
      <c r="F24" s="860"/>
      <c r="G24" s="862"/>
      <c r="H24" s="617" t="s">
        <v>12</v>
      </c>
      <c r="I24" s="863"/>
      <c r="J24" s="863"/>
      <c r="K24" s="864"/>
      <c r="L24" s="864">
        <f t="shared" ref="L24:N24" ca="1" si="14">L25+L26</f>
        <v>975000</v>
      </c>
      <c r="M24" s="864">
        <f t="shared" ca="1" si="14"/>
        <v>943992</v>
      </c>
      <c r="N24" s="864">
        <f t="shared" ca="1" si="14"/>
        <v>943992</v>
      </c>
      <c r="O24" s="864">
        <f t="shared" ca="1" si="9"/>
        <v>96.819692307692307</v>
      </c>
      <c r="P24" s="864">
        <f t="shared" ca="1" si="10"/>
        <v>100</v>
      </c>
      <c r="Q24" s="851"/>
      <c r="R24" s="851"/>
      <c r="S24" s="851"/>
      <c r="T24" s="851"/>
      <c r="U24" s="851"/>
      <c r="V24" s="851"/>
      <c r="W24" s="851"/>
      <c r="X24" s="851"/>
      <c r="Y24" s="851"/>
      <c r="Z24" s="851"/>
    </row>
    <row r="25" spans="1:26" ht="18.75" hidden="1">
      <c r="A25" s="865"/>
      <c r="B25" s="866"/>
      <c r="C25" s="866"/>
      <c r="D25" s="866"/>
      <c r="E25" s="867" t="s">
        <v>18</v>
      </c>
      <c r="F25" s="866"/>
      <c r="G25" s="868"/>
      <c r="H25" s="43" t="s">
        <v>12</v>
      </c>
      <c r="I25" s="869"/>
      <c r="J25" s="869"/>
      <c r="K25" s="870"/>
      <c r="L25" s="870">
        <f t="shared" ref="L25:N26" si="15">L48+L60+L73+L95+L126+L139+L156+L188+L172+L268+L284+L305+L322+L335+L352+L396+L409</f>
        <v>0</v>
      </c>
      <c r="M25" s="870">
        <f t="shared" si="15"/>
        <v>0</v>
      </c>
      <c r="N25" s="870">
        <f t="shared" si="15"/>
        <v>0</v>
      </c>
      <c r="O25" s="870">
        <f t="shared" si="9"/>
        <v>0</v>
      </c>
      <c r="P25" s="870">
        <f t="shared" si="10"/>
        <v>0</v>
      </c>
      <c r="Q25" s="858"/>
      <c r="R25" s="858"/>
      <c r="S25" s="858"/>
      <c r="T25" s="858"/>
      <c r="U25" s="858"/>
      <c r="V25" s="858"/>
      <c r="W25" s="858"/>
      <c r="X25" s="858"/>
      <c r="Y25" s="858"/>
      <c r="Z25" s="858"/>
    </row>
    <row r="26" spans="1:26" ht="18.75" hidden="1">
      <c r="A26" s="871"/>
      <c r="B26" s="872"/>
      <c r="C26" s="872"/>
      <c r="D26" s="872"/>
      <c r="E26" s="873" t="s">
        <v>19</v>
      </c>
      <c r="F26" s="872"/>
      <c r="G26" s="874"/>
      <c r="H26" s="50" t="s">
        <v>12</v>
      </c>
      <c r="I26" s="875"/>
      <c r="J26" s="875"/>
      <c r="K26" s="876"/>
      <c r="L26" s="876">
        <f t="shared" ca="1" si="15"/>
        <v>975000</v>
      </c>
      <c r="M26" s="876">
        <f t="shared" ca="1" si="15"/>
        <v>943992</v>
      </c>
      <c r="N26" s="876">
        <f t="shared" ca="1" si="15"/>
        <v>943992</v>
      </c>
      <c r="O26" s="876">
        <f t="shared" ca="1" si="9"/>
        <v>96.819692307692307</v>
      </c>
      <c r="P26" s="876">
        <f t="shared" ca="1" si="10"/>
        <v>100</v>
      </c>
      <c r="Q26" s="858"/>
      <c r="R26" s="858"/>
      <c r="S26" s="858"/>
      <c r="T26" s="858"/>
      <c r="U26" s="858"/>
      <c r="V26" s="858"/>
      <c r="W26" s="858"/>
      <c r="X26" s="858"/>
      <c r="Y26" s="858"/>
      <c r="Z26" s="858"/>
    </row>
    <row r="27" spans="1:26" ht="19.5">
      <c r="A27" s="1559" t="s">
        <v>23</v>
      </c>
      <c r="B27" s="1542"/>
      <c r="C27" s="1542"/>
      <c r="D27" s="1542"/>
      <c r="E27" s="1542"/>
      <c r="F27" s="1542"/>
      <c r="G27" s="1543"/>
      <c r="H27" s="840"/>
      <c r="I27" s="841"/>
      <c r="J27" s="841"/>
      <c r="K27" s="842"/>
      <c r="L27" s="842"/>
      <c r="M27" s="842"/>
      <c r="N27" s="842"/>
      <c r="O27" s="842"/>
      <c r="P27" s="842"/>
    </row>
    <row r="28" spans="1:26" ht="19.5">
      <c r="A28" s="843"/>
      <c r="B28" s="844"/>
      <c r="C28" s="845" t="s">
        <v>16</v>
      </c>
      <c r="D28" s="846" t="s">
        <v>17</v>
      </c>
      <c r="E28" s="844"/>
      <c r="F28" s="844"/>
      <c r="G28" s="847"/>
      <c r="H28" s="19" t="s">
        <v>12</v>
      </c>
      <c r="I28" s="848"/>
      <c r="J28" s="848"/>
      <c r="K28" s="849"/>
      <c r="L28" s="850">
        <f t="shared" ref="L28:N28" ca="1" si="16">L29+L30</f>
        <v>3278842</v>
      </c>
      <c r="M28" s="850">
        <f t="shared" si="16"/>
        <v>0</v>
      </c>
      <c r="N28" s="850">
        <f t="shared" si="16"/>
        <v>1383255.87</v>
      </c>
      <c r="O28" s="850">
        <f t="shared" ref="O28:O37" ca="1" si="17">IF(L28&gt;0,N28*100/L28,0)</f>
        <v>42.18732924611799</v>
      </c>
      <c r="P28" s="850">
        <f t="shared" ref="P28:P37" si="18">IF(M28&gt;0,N28*100/M28,0)</f>
        <v>0</v>
      </c>
      <c r="Q28" s="851"/>
      <c r="R28" s="851"/>
      <c r="S28" s="851"/>
      <c r="T28" s="851"/>
      <c r="U28" s="851"/>
      <c r="V28" s="851"/>
      <c r="W28" s="851"/>
      <c r="X28" s="851"/>
      <c r="Y28" s="851"/>
      <c r="Z28" s="851"/>
    </row>
    <row r="29" spans="1:26" ht="18.75" hidden="1">
      <c r="A29" s="852"/>
      <c r="B29" s="853"/>
      <c r="C29" s="853"/>
      <c r="D29" s="853"/>
      <c r="E29" s="854" t="s">
        <v>18</v>
      </c>
      <c r="F29" s="853"/>
      <c r="G29" s="855"/>
      <c r="H29" s="28" t="s">
        <v>12</v>
      </c>
      <c r="I29" s="856"/>
      <c r="J29" s="856"/>
      <c r="K29" s="857"/>
      <c r="L29" s="857">
        <f t="shared" ref="L29:N30" si="19">L32+L35</f>
        <v>0</v>
      </c>
      <c r="M29" s="857">
        <f t="shared" si="19"/>
        <v>0</v>
      </c>
      <c r="N29" s="857">
        <f t="shared" si="19"/>
        <v>0</v>
      </c>
      <c r="O29" s="857">
        <f t="shared" si="17"/>
        <v>0</v>
      </c>
      <c r="P29" s="857">
        <f t="shared" si="18"/>
        <v>0</v>
      </c>
      <c r="Q29" s="858"/>
      <c r="R29" s="858"/>
      <c r="S29" s="858"/>
      <c r="T29" s="858"/>
      <c r="U29" s="858"/>
      <c r="V29" s="858"/>
      <c r="W29" s="858"/>
      <c r="X29" s="858"/>
      <c r="Y29" s="858"/>
      <c r="Z29" s="858"/>
    </row>
    <row r="30" spans="1:26" ht="18.75" hidden="1">
      <c r="A30" s="852"/>
      <c r="B30" s="853"/>
      <c r="C30" s="853"/>
      <c r="D30" s="853"/>
      <c r="E30" s="854" t="s">
        <v>19</v>
      </c>
      <c r="F30" s="853"/>
      <c r="G30" s="855"/>
      <c r="H30" s="28" t="s">
        <v>12</v>
      </c>
      <c r="I30" s="856"/>
      <c r="J30" s="856"/>
      <c r="K30" s="857"/>
      <c r="L30" s="857">
        <f t="shared" ca="1" si="19"/>
        <v>3278842</v>
      </c>
      <c r="M30" s="857">
        <f t="shared" si="19"/>
        <v>0</v>
      </c>
      <c r="N30" s="857">
        <f t="shared" si="19"/>
        <v>1383255.87</v>
      </c>
      <c r="O30" s="857">
        <f t="shared" ca="1" si="17"/>
        <v>42.18732924611799</v>
      </c>
      <c r="P30" s="857">
        <f t="shared" si="18"/>
        <v>0</v>
      </c>
      <c r="Q30" s="858"/>
      <c r="R30" s="858"/>
      <c r="S30" s="858"/>
      <c r="T30" s="858"/>
      <c r="U30" s="858"/>
      <c r="V30" s="858"/>
      <c r="W30" s="858"/>
      <c r="X30" s="858"/>
      <c r="Y30" s="858"/>
      <c r="Z30" s="858"/>
    </row>
    <row r="31" spans="1:26" ht="18.75">
      <c r="A31" s="859"/>
      <c r="B31" s="860"/>
      <c r="C31" s="860"/>
      <c r="D31" s="861" t="s">
        <v>20</v>
      </c>
      <c r="E31" s="860"/>
      <c r="F31" s="860"/>
      <c r="G31" s="862"/>
      <c r="H31" s="617" t="s">
        <v>12</v>
      </c>
      <c r="I31" s="863"/>
      <c r="J31" s="863"/>
      <c r="K31" s="864"/>
      <c r="L31" s="864">
        <f t="shared" ref="L31:N31" ca="1" si="20">L32+L33</f>
        <v>3278842</v>
      </c>
      <c r="M31" s="864">
        <f t="shared" si="20"/>
        <v>0</v>
      </c>
      <c r="N31" s="864">
        <f t="shared" si="20"/>
        <v>1383255.87</v>
      </c>
      <c r="O31" s="864">
        <f t="shared" ca="1" si="17"/>
        <v>42.18732924611799</v>
      </c>
      <c r="P31" s="864">
        <f t="shared" si="18"/>
        <v>0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</row>
    <row r="32" spans="1:26" ht="18.75" hidden="1">
      <c r="A32" s="865"/>
      <c r="B32" s="866"/>
      <c r="C32" s="866"/>
      <c r="D32" s="866"/>
      <c r="E32" s="867" t="s">
        <v>18</v>
      </c>
      <c r="F32" s="866"/>
      <c r="G32" s="868"/>
      <c r="H32" s="43" t="s">
        <v>12</v>
      </c>
      <c r="I32" s="869"/>
      <c r="J32" s="869"/>
      <c r="K32" s="870"/>
      <c r="L32" s="870">
        <f t="shared" ref="L32:N33" si="21">L423+L448+L471+L506+L527+L548+L633+L659+L689+L741+L758+L774+L790+L809</f>
        <v>0</v>
      </c>
      <c r="M32" s="870">
        <f t="shared" si="21"/>
        <v>0</v>
      </c>
      <c r="N32" s="870">
        <f t="shared" si="21"/>
        <v>0</v>
      </c>
      <c r="O32" s="870">
        <f t="shared" si="17"/>
        <v>0</v>
      </c>
      <c r="P32" s="870">
        <f t="shared" si="18"/>
        <v>0</v>
      </c>
      <c r="Q32" s="858"/>
      <c r="R32" s="858"/>
      <c r="S32" s="858"/>
      <c r="T32" s="858"/>
      <c r="U32" s="858"/>
      <c r="V32" s="858"/>
      <c r="W32" s="858"/>
      <c r="X32" s="858"/>
      <c r="Y32" s="858"/>
      <c r="Z32" s="858"/>
    </row>
    <row r="33" spans="1:26" ht="18.75" hidden="1">
      <c r="A33" s="865"/>
      <c r="B33" s="866"/>
      <c r="C33" s="866"/>
      <c r="D33" s="866"/>
      <c r="E33" s="867" t="s">
        <v>19</v>
      </c>
      <c r="F33" s="866"/>
      <c r="G33" s="868"/>
      <c r="H33" s="43" t="s">
        <v>12</v>
      </c>
      <c r="I33" s="869"/>
      <c r="J33" s="869"/>
      <c r="K33" s="870"/>
      <c r="L33" s="870">
        <f t="shared" ca="1" si="21"/>
        <v>3278842</v>
      </c>
      <c r="M33" s="870">
        <f t="shared" si="21"/>
        <v>0</v>
      </c>
      <c r="N33" s="870">
        <f t="shared" si="21"/>
        <v>1383255.87</v>
      </c>
      <c r="O33" s="870">
        <f t="shared" ca="1" si="17"/>
        <v>42.18732924611799</v>
      </c>
      <c r="P33" s="870">
        <f t="shared" si="18"/>
        <v>0</v>
      </c>
      <c r="Q33" s="858"/>
      <c r="R33" s="858"/>
      <c r="S33" s="858"/>
      <c r="T33" s="858"/>
      <c r="U33" s="858"/>
      <c r="V33" s="858"/>
      <c r="W33" s="858"/>
      <c r="X33" s="858"/>
      <c r="Y33" s="858"/>
      <c r="Z33" s="858"/>
    </row>
    <row r="34" spans="1:26" ht="18.75">
      <c r="A34" s="859"/>
      <c r="B34" s="860"/>
      <c r="C34" s="860"/>
      <c r="D34" s="861" t="s">
        <v>21</v>
      </c>
      <c r="E34" s="860"/>
      <c r="F34" s="860"/>
      <c r="G34" s="862"/>
      <c r="H34" s="617" t="s">
        <v>12</v>
      </c>
      <c r="I34" s="863"/>
      <c r="J34" s="863"/>
      <c r="K34" s="864"/>
      <c r="L34" s="864">
        <f t="shared" ref="L34:N34" ca="1" si="22">L35+L36</f>
        <v>0</v>
      </c>
      <c r="M34" s="864">
        <f t="shared" si="22"/>
        <v>0</v>
      </c>
      <c r="N34" s="864">
        <f t="shared" si="22"/>
        <v>0</v>
      </c>
      <c r="O34" s="864">
        <f t="shared" ca="1" si="17"/>
        <v>0</v>
      </c>
      <c r="P34" s="864">
        <f t="shared" si="18"/>
        <v>0</v>
      </c>
      <c r="Q34" s="851"/>
      <c r="R34" s="851"/>
      <c r="S34" s="851"/>
      <c r="T34" s="851"/>
      <c r="U34" s="851"/>
      <c r="V34" s="851"/>
      <c r="W34" s="851"/>
      <c r="X34" s="851"/>
      <c r="Y34" s="851"/>
      <c r="Z34" s="851"/>
    </row>
    <row r="35" spans="1:26" ht="18.75" hidden="1">
      <c r="A35" s="865"/>
      <c r="B35" s="866"/>
      <c r="C35" s="866"/>
      <c r="D35" s="866"/>
      <c r="E35" s="867" t="s">
        <v>18</v>
      </c>
      <c r="F35" s="866"/>
      <c r="G35" s="868"/>
      <c r="H35" s="43" t="s">
        <v>12</v>
      </c>
      <c r="I35" s="869"/>
      <c r="J35" s="869"/>
      <c r="K35" s="870"/>
      <c r="L35" s="870">
        <f t="shared" ref="L35:N36" si="23">L430+L455+L478+L513+L534+L556+L640+L666+L696+L748+L765+L781+L797+L816</f>
        <v>0</v>
      </c>
      <c r="M35" s="870">
        <f t="shared" si="23"/>
        <v>0</v>
      </c>
      <c r="N35" s="870">
        <f t="shared" si="23"/>
        <v>0</v>
      </c>
      <c r="O35" s="870">
        <f t="shared" si="17"/>
        <v>0</v>
      </c>
      <c r="P35" s="870">
        <f t="shared" si="18"/>
        <v>0</v>
      </c>
      <c r="Q35" s="858"/>
      <c r="R35" s="858"/>
      <c r="S35" s="858"/>
      <c r="T35" s="858"/>
      <c r="U35" s="858"/>
      <c r="V35" s="858"/>
      <c r="W35" s="858"/>
      <c r="X35" s="858"/>
      <c r="Y35" s="858"/>
      <c r="Z35" s="858"/>
    </row>
    <row r="36" spans="1:26" ht="18.75" hidden="1">
      <c r="A36" s="871"/>
      <c r="B36" s="872"/>
      <c r="C36" s="872"/>
      <c r="D36" s="872"/>
      <c r="E36" s="873" t="s">
        <v>19</v>
      </c>
      <c r="F36" s="872"/>
      <c r="G36" s="874"/>
      <c r="H36" s="50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8"/>
      <c r="R36" s="858"/>
      <c r="S36" s="858"/>
      <c r="T36" s="858"/>
      <c r="U36" s="858"/>
      <c r="V36" s="858"/>
      <c r="W36" s="858"/>
      <c r="X36" s="858"/>
      <c r="Y36" s="858"/>
      <c r="Z36" s="858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6275519</v>
      </c>
      <c r="M37" s="883">
        <f t="shared" ca="1" si="24"/>
        <v>5278384</v>
      </c>
      <c r="N37" s="883">
        <f t="shared" ca="1" si="24"/>
        <v>3664463.88</v>
      </c>
      <c r="O37" s="883">
        <f t="shared" ca="1" si="17"/>
        <v>58.39300112070412</v>
      </c>
      <c r="P37" s="883">
        <f t="shared" ca="1" si="18"/>
        <v>69.423972943234148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1560" t="s">
        <v>27</v>
      </c>
      <c r="C40" s="1533"/>
      <c r="D40" s="1533"/>
      <c r="E40" s="1533"/>
      <c r="F40" s="1533"/>
      <c r="G40" s="1539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82" t="s">
        <v>12</v>
      </c>
      <c r="I41" s="906"/>
      <c r="J41" s="906"/>
      <c r="K41" s="907"/>
      <c r="L41" s="908">
        <f t="shared" ref="L41:N41" ca="1" si="25">L42+L43</f>
        <v>478559</v>
      </c>
      <c r="M41" s="908">
        <f t="shared" ca="1" si="25"/>
        <v>489102</v>
      </c>
      <c r="N41" s="908">
        <f t="shared" ca="1" si="25"/>
        <v>288376.32000000001</v>
      </c>
      <c r="O41" s="908">
        <f t="shared" ref="O41:O49" ca="1" si="26">IF(L41&gt;0,N41*100/L41,0)</f>
        <v>60.259303450567224</v>
      </c>
      <c r="P41" s="908">
        <f t="shared" ref="P41:P49" ca="1" si="27">IF(M41&gt;0,N41*100/M41,0)</f>
        <v>58.960364095832773</v>
      </c>
      <c r="Q41" s="851"/>
      <c r="R41" s="851"/>
      <c r="S41" s="851"/>
      <c r="T41" s="851"/>
      <c r="U41" s="851"/>
      <c r="V41" s="851"/>
      <c r="W41" s="851"/>
      <c r="X41" s="851"/>
      <c r="Y41" s="851"/>
      <c r="Z41" s="851"/>
    </row>
    <row r="42" spans="1:26" ht="18.75" hidden="1">
      <c r="A42" s="909"/>
      <c r="B42" s="910"/>
      <c r="C42" s="910"/>
      <c r="D42" s="910"/>
      <c r="E42" s="911" t="s">
        <v>18</v>
      </c>
      <c r="F42" s="910"/>
      <c r="G42" s="912"/>
      <c r="H42" s="90" t="s">
        <v>12</v>
      </c>
      <c r="I42" s="913"/>
      <c r="J42" s="913"/>
      <c r="K42" s="914"/>
      <c r="L42" s="914">
        <f t="shared" ref="L42:N43" si="28">L45+L48</f>
        <v>0</v>
      </c>
      <c r="M42" s="914">
        <f t="shared" si="28"/>
        <v>0</v>
      </c>
      <c r="N42" s="914">
        <f t="shared" si="28"/>
        <v>0</v>
      </c>
      <c r="O42" s="914">
        <f t="shared" si="26"/>
        <v>0</v>
      </c>
      <c r="P42" s="914">
        <f t="shared" si="27"/>
        <v>0</v>
      </c>
      <c r="Q42" s="858"/>
      <c r="R42" s="858"/>
      <c r="S42" s="858"/>
      <c r="T42" s="858"/>
      <c r="U42" s="858"/>
      <c r="V42" s="858"/>
      <c r="W42" s="858"/>
      <c r="X42" s="858"/>
      <c r="Y42" s="858"/>
      <c r="Z42" s="858"/>
    </row>
    <row r="43" spans="1:26" ht="18.75" hidden="1">
      <c r="A43" s="909"/>
      <c r="B43" s="910"/>
      <c r="C43" s="910"/>
      <c r="D43" s="910"/>
      <c r="E43" s="911" t="s">
        <v>19</v>
      </c>
      <c r="F43" s="910"/>
      <c r="G43" s="912"/>
      <c r="H43" s="90" t="s">
        <v>12</v>
      </c>
      <c r="I43" s="913"/>
      <c r="J43" s="913"/>
      <c r="K43" s="914"/>
      <c r="L43" s="914">
        <f t="shared" ca="1" si="28"/>
        <v>478559</v>
      </c>
      <c r="M43" s="914">
        <f t="shared" ca="1" si="28"/>
        <v>489102</v>
      </c>
      <c r="N43" s="914">
        <f t="shared" ca="1" si="28"/>
        <v>288376.32000000001</v>
      </c>
      <c r="O43" s="914">
        <f t="shared" ca="1" si="26"/>
        <v>60.259303450567224</v>
      </c>
      <c r="P43" s="914">
        <f t="shared" ca="1" si="27"/>
        <v>58.960364095832773</v>
      </c>
      <c r="Q43" s="858"/>
      <c r="R43" s="858"/>
      <c r="S43" s="858"/>
      <c r="T43" s="858"/>
      <c r="U43" s="858"/>
      <c r="V43" s="858"/>
      <c r="W43" s="858"/>
      <c r="X43" s="858"/>
      <c r="Y43" s="858"/>
      <c r="Z43" s="858"/>
    </row>
    <row r="44" spans="1:26" ht="18.75">
      <c r="A44" s="859"/>
      <c r="B44" s="860"/>
      <c r="C44" s="860"/>
      <c r="D44" s="861" t="s">
        <v>20</v>
      </c>
      <c r="E44" s="860"/>
      <c r="F44" s="860"/>
      <c r="G44" s="862"/>
      <c r="H44" s="617" t="s">
        <v>12</v>
      </c>
      <c r="I44" s="863"/>
      <c r="J44" s="863"/>
      <c r="K44" s="864"/>
      <c r="L44" s="864">
        <f t="shared" ref="L44:N44" ca="1" si="29">L45+L46</f>
        <v>478559</v>
      </c>
      <c r="M44" s="864">
        <f t="shared" ca="1" si="29"/>
        <v>489102</v>
      </c>
      <c r="N44" s="864">
        <f t="shared" ca="1" si="29"/>
        <v>288376.32000000001</v>
      </c>
      <c r="O44" s="864">
        <f t="shared" ca="1" si="26"/>
        <v>60.259303450567224</v>
      </c>
      <c r="P44" s="864">
        <f t="shared" ca="1" si="27"/>
        <v>58.960364095832773</v>
      </c>
      <c r="Q44" s="851"/>
      <c r="R44" s="851"/>
      <c r="S44" s="851"/>
      <c r="T44" s="851"/>
      <c r="U44" s="851"/>
      <c r="V44" s="851"/>
      <c r="W44" s="851"/>
      <c r="X44" s="851"/>
      <c r="Y44" s="851"/>
      <c r="Z44" s="851"/>
    </row>
    <row r="45" spans="1:26" ht="18.75" hidden="1">
      <c r="A45" s="865"/>
      <c r="B45" s="866"/>
      <c r="C45" s="866"/>
      <c r="D45" s="866"/>
      <c r="E45" s="867" t="s">
        <v>18</v>
      </c>
      <c r="F45" s="866"/>
      <c r="G45" s="868"/>
      <c r="H45" s="43" t="s">
        <v>12</v>
      </c>
      <c r="I45" s="869"/>
      <c r="J45" s="869"/>
      <c r="K45" s="870"/>
      <c r="L45" s="870">
        <v>0</v>
      </c>
      <c r="M45" s="870">
        <v>0</v>
      </c>
      <c r="N45" s="870">
        <v>0</v>
      </c>
      <c r="O45" s="870">
        <f t="shared" si="26"/>
        <v>0</v>
      </c>
      <c r="P45" s="870">
        <f t="shared" si="27"/>
        <v>0</v>
      </c>
      <c r="Q45" s="858"/>
      <c r="R45" s="858"/>
      <c r="S45" s="858"/>
      <c r="T45" s="858"/>
      <c r="U45" s="858"/>
      <c r="V45" s="858"/>
      <c r="W45" s="858"/>
      <c r="X45" s="858"/>
      <c r="Y45" s="858"/>
      <c r="Z45" s="858"/>
    </row>
    <row r="46" spans="1:26" ht="18.75" hidden="1">
      <c r="A46" s="865"/>
      <c r="B46" s="866"/>
      <c r="C46" s="866"/>
      <c r="D46" s="866"/>
      <c r="E46" s="867" t="s">
        <v>19</v>
      </c>
      <c r="F46" s="866"/>
      <c r="G46" s="868"/>
      <c r="H46" s="43" t="s">
        <v>12</v>
      </c>
      <c r="I46" s="869"/>
      <c r="J46" s="869"/>
      <c r="K46" s="870"/>
      <c r="L46" s="870">
        <f ca="1">IFERROR(__xludf.DUMMYFUNCTION("IMPORTRANGE(""https://docs.google.com/spreadsheets/d/1MeEWN-I1oV_STSDYn1IFDPWt_1FKiwhDph83XaGc0o0/edit?usp=sharing"",""งบพรบ!M51"")"),478559)</f>
        <v>478559</v>
      </c>
      <c r="M46" s="870">
        <f ca="1">IFERROR(__xludf.DUMMYFUNCTION("IMPORTRANGE(""https://docs.google.com/spreadsheets/d/1MeEWN-I1oV_STSDYn1IFDPWt_1FKiwhDph83XaGc0o0/edit?usp=sharing"",""งบพรบ!R51"")"),489102)</f>
        <v>489102</v>
      </c>
      <c r="N46" s="870">
        <f ca="1">IFERROR(__xludf.DUMMYFUNCTION("IMPORTRANGE(""https://docs.google.com/spreadsheets/d/1MeEWN-I1oV_STSDYn1IFDPWt_1FKiwhDph83XaGc0o0/edit?usp=sharing"",""งบพรบ!T51"")"),288376.32)</f>
        <v>288376.32000000001</v>
      </c>
      <c r="O46" s="870">
        <f t="shared" ca="1" si="26"/>
        <v>60.259303450567224</v>
      </c>
      <c r="P46" s="870">
        <f t="shared" ca="1" si="27"/>
        <v>58.960364095832773</v>
      </c>
      <c r="Q46" s="858"/>
      <c r="R46" s="858"/>
      <c r="S46" s="858"/>
      <c r="T46" s="858"/>
      <c r="U46" s="858"/>
      <c r="V46" s="858"/>
      <c r="W46" s="858"/>
      <c r="X46" s="858"/>
      <c r="Y46" s="858"/>
      <c r="Z46" s="858"/>
    </row>
    <row r="47" spans="1:26" ht="18.75">
      <c r="A47" s="859"/>
      <c r="B47" s="860"/>
      <c r="C47" s="860"/>
      <c r="D47" s="861" t="s">
        <v>21</v>
      </c>
      <c r="E47" s="860"/>
      <c r="F47" s="860"/>
      <c r="G47" s="862"/>
      <c r="H47" s="617" t="s">
        <v>12</v>
      </c>
      <c r="I47" s="863"/>
      <c r="J47" s="863"/>
      <c r="K47" s="864"/>
      <c r="L47" s="864">
        <f t="shared" ref="L47:N47" ca="1" si="30">L48+L49</f>
        <v>0</v>
      </c>
      <c r="M47" s="864">
        <f t="shared" ca="1" si="30"/>
        <v>0</v>
      </c>
      <c r="N47" s="864">
        <f t="shared" ca="1" si="30"/>
        <v>0</v>
      </c>
      <c r="O47" s="864">
        <f t="shared" ca="1" si="26"/>
        <v>0</v>
      </c>
      <c r="P47" s="864">
        <f t="shared" ca="1" si="27"/>
        <v>0</v>
      </c>
      <c r="Q47" s="851"/>
      <c r="R47" s="851"/>
      <c r="S47" s="851"/>
      <c r="T47" s="851"/>
      <c r="U47" s="851"/>
      <c r="V47" s="851"/>
      <c r="W47" s="851"/>
      <c r="X47" s="851"/>
      <c r="Y47" s="851"/>
      <c r="Z47" s="851"/>
    </row>
    <row r="48" spans="1:26" ht="18.75" hidden="1">
      <c r="A48" s="865"/>
      <c r="B48" s="866"/>
      <c r="C48" s="866"/>
      <c r="D48" s="866"/>
      <c r="E48" s="867" t="s">
        <v>18</v>
      </c>
      <c r="F48" s="866"/>
      <c r="G48" s="868"/>
      <c r="H48" s="43" t="s">
        <v>12</v>
      </c>
      <c r="I48" s="869"/>
      <c r="J48" s="869"/>
      <c r="K48" s="870"/>
      <c r="L48" s="870">
        <v>0</v>
      </c>
      <c r="M48" s="870">
        <v>0</v>
      </c>
      <c r="N48" s="870">
        <v>0</v>
      </c>
      <c r="O48" s="870">
        <f t="shared" si="26"/>
        <v>0</v>
      </c>
      <c r="P48" s="870">
        <f t="shared" si="27"/>
        <v>0</v>
      </c>
      <c r="Q48" s="858"/>
      <c r="R48" s="858"/>
      <c r="S48" s="858"/>
      <c r="T48" s="858"/>
      <c r="U48" s="858"/>
      <c r="V48" s="858"/>
      <c r="W48" s="858"/>
      <c r="X48" s="858"/>
      <c r="Y48" s="858"/>
      <c r="Z48" s="858"/>
    </row>
    <row r="49" spans="1:26" ht="18.75" hidden="1">
      <c r="A49" s="871"/>
      <c r="B49" s="872"/>
      <c r="C49" s="872"/>
      <c r="D49" s="872"/>
      <c r="E49" s="873" t="s">
        <v>19</v>
      </c>
      <c r="F49" s="872"/>
      <c r="G49" s="874"/>
      <c r="H49" s="50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IFERROR(__xludf.DUMMYFUNCTION("IMPORTRANGE(""https://docs.google.com/spreadsheets/d/1MeEWN-I1oV_STSDYn1IFDPWt_1FKiwhDph83XaGc0o0/edit?usp=sharing"",""งบพรบ!P51"")"),0)</f>
        <v>0</v>
      </c>
      <c r="M49" s="876">
        <f ca="1">IFERROR(__xludf.DUMMYFUNCTION("IMPORTRANGE(""https://docs.google.com/spreadsheets/d/1MeEWN-I1oV_STSDYn1IFDPWt_1FKiwhDph83XaGc0o0/edit?usp=sharing"",""งบพรบ!S51"")"),0)</f>
        <v>0</v>
      </c>
      <c r="N49" s="876">
        <f ca="1">IFERROR(__xludf.DUMMYFUNCTION("IMPORTRANGE(""https://docs.google.com/spreadsheets/d/1MeEWN-I1oV_STSDYn1IFDPWt_1FKiwhDph83XaGc0o0/edit?usp=sharing"",""งบพรบ!U51"")"),0)</f>
        <v>0</v>
      </c>
      <c r="O49" s="876">
        <f t="shared" ca="1" si="26"/>
        <v>0</v>
      </c>
      <c r="P49" s="876">
        <f t="shared" ca="1" si="27"/>
        <v>0</v>
      </c>
      <c r="Q49" s="858"/>
      <c r="R49" s="858"/>
      <c r="S49" s="858"/>
      <c r="T49" s="858"/>
      <c r="U49" s="858"/>
      <c r="V49" s="858"/>
      <c r="W49" s="858"/>
      <c r="X49" s="858"/>
      <c r="Y49" s="858"/>
      <c r="Z49" s="858"/>
    </row>
    <row r="50" spans="1:26" ht="19.5">
      <c r="A50" s="1561" t="s">
        <v>28</v>
      </c>
      <c r="B50" s="1542"/>
      <c r="C50" s="1542"/>
      <c r="D50" s="1542"/>
      <c r="E50" s="1542"/>
      <c r="F50" s="1542"/>
      <c r="G50" s="1543"/>
      <c r="H50" s="915"/>
      <c r="I50" s="916"/>
      <c r="J50" s="916"/>
      <c r="K50" s="917"/>
      <c r="L50" s="917"/>
      <c r="M50" s="917"/>
      <c r="N50" s="917"/>
      <c r="O50" s="917"/>
      <c r="P50" s="917"/>
    </row>
    <row r="51" spans="1:26" ht="19.5">
      <c r="A51" s="918"/>
      <c r="B51" s="1562" t="s">
        <v>29</v>
      </c>
      <c r="C51" s="1533"/>
      <c r="D51" s="1533"/>
      <c r="E51" s="1533"/>
      <c r="F51" s="1533"/>
      <c r="G51" s="1539"/>
      <c r="H51" s="919"/>
      <c r="I51" s="920"/>
      <c r="J51" s="920"/>
      <c r="K51" s="921"/>
      <c r="L51" s="921"/>
      <c r="M51" s="921"/>
      <c r="N51" s="921"/>
      <c r="O51" s="921"/>
      <c r="P51" s="921"/>
    </row>
    <row r="52" spans="1:26" ht="19.5">
      <c r="A52" s="922"/>
      <c r="B52" s="923" t="s">
        <v>30</v>
      </c>
      <c r="C52" s="924"/>
      <c r="D52" s="924"/>
      <c r="E52" s="924"/>
      <c r="F52" s="924"/>
      <c r="G52" s="925"/>
      <c r="H52" s="926"/>
      <c r="I52" s="927"/>
      <c r="J52" s="927"/>
      <c r="K52" s="928"/>
      <c r="L52" s="928"/>
      <c r="M52" s="928"/>
      <c r="N52" s="928"/>
      <c r="O52" s="928"/>
      <c r="P52" s="928"/>
    </row>
    <row r="53" spans="1:26" ht="19.5">
      <c r="A53" s="929"/>
      <c r="B53" s="930"/>
      <c r="C53" s="931" t="s">
        <v>16</v>
      </c>
      <c r="D53" s="932" t="s">
        <v>17</v>
      </c>
      <c r="E53" s="930"/>
      <c r="F53" s="930"/>
      <c r="G53" s="933"/>
      <c r="H53" s="113" t="s">
        <v>12</v>
      </c>
      <c r="I53" s="934"/>
      <c r="J53" s="934"/>
      <c r="K53" s="935"/>
      <c r="L53" s="936">
        <f t="shared" ref="L53:N53" ca="1" si="31">L54+L55</f>
        <v>1853500</v>
      </c>
      <c r="M53" s="936">
        <f t="shared" ca="1" si="31"/>
        <v>1583867</v>
      </c>
      <c r="N53" s="936">
        <f t="shared" ca="1" si="31"/>
        <v>1353368.81</v>
      </c>
      <c r="O53" s="936">
        <f t="shared" ref="O53:O61" ca="1" si="32">IF(L53&gt;0,N53*100/L53,0)</f>
        <v>73.016930671702184</v>
      </c>
      <c r="P53" s="936">
        <f t="shared" ref="P53:P61" ca="1" si="33">IF(M53&gt;0,N53*100/M53,0)</f>
        <v>85.447124663876451</v>
      </c>
      <c r="Q53" s="851"/>
      <c r="R53" s="851"/>
      <c r="S53" s="851"/>
      <c r="T53" s="851"/>
      <c r="U53" s="851"/>
      <c r="V53" s="851"/>
      <c r="W53" s="851"/>
      <c r="X53" s="851"/>
      <c r="Y53" s="851"/>
      <c r="Z53" s="851"/>
    </row>
    <row r="54" spans="1:26" ht="18.75" hidden="1">
      <c r="A54" s="937"/>
      <c r="B54" s="938"/>
      <c r="C54" s="938"/>
      <c r="D54" s="938"/>
      <c r="E54" s="939" t="s">
        <v>18</v>
      </c>
      <c r="F54" s="938"/>
      <c r="G54" s="940"/>
      <c r="H54" s="121" t="s">
        <v>12</v>
      </c>
      <c r="I54" s="941"/>
      <c r="J54" s="941"/>
      <c r="K54" s="942"/>
      <c r="L54" s="942">
        <f t="shared" ref="L54:N55" si="34">L57+L60</f>
        <v>0</v>
      </c>
      <c r="M54" s="942">
        <f t="shared" si="34"/>
        <v>0</v>
      </c>
      <c r="N54" s="942">
        <f t="shared" si="34"/>
        <v>0</v>
      </c>
      <c r="O54" s="942">
        <f t="shared" si="32"/>
        <v>0</v>
      </c>
      <c r="P54" s="942">
        <f t="shared" si="33"/>
        <v>0</v>
      </c>
      <c r="Q54" s="858"/>
      <c r="R54" s="858"/>
      <c r="S54" s="858"/>
      <c r="T54" s="858"/>
      <c r="U54" s="858"/>
      <c r="V54" s="858"/>
      <c r="W54" s="858"/>
      <c r="X54" s="858"/>
      <c r="Y54" s="858"/>
      <c r="Z54" s="858"/>
    </row>
    <row r="55" spans="1:26" ht="18.75" hidden="1">
      <c r="A55" s="937"/>
      <c r="B55" s="938"/>
      <c r="C55" s="938"/>
      <c r="D55" s="938"/>
      <c r="E55" s="939" t="s">
        <v>19</v>
      </c>
      <c r="F55" s="938"/>
      <c r="G55" s="940"/>
      <c r="H55" s="121" t="s">
        <v>12</v>
      </c>
      <c r="I55" s="941"/>
      <c r="J55" s="941"/>
      <c r="K55" s="942"/>
      <c r="L55" s="942">
        <f t="shared" ca="1" si="34"/>
        <v>1853500</v>
      </c>
      <c r="M55" s="942">
        <f t="shared" ca="1" si="34"/>
        <v>1583867</v>
      </c>
      <c r="N55" s="942">
        <f t="shared" ca="1" si="34"/>
        <v>1353368.81</v>
      </c>
      <c r="O55" s="942">
        <f t="shared" ca="1" si="32"/>
        <v>73.016930671702184</v>
      </c>
      <c r="P55" s="942">
        <f t="shared" ca="1" si="33"/>
        <v>85.447124663876451</v>
      </c>
      <c r="Q55" s="858"/>
      <c r="R55" s="858"/>
      <c r="S55" s="858"/>
      <c r="T55" s="858"/>
      <c r="U55" s="858"/>
      <c r="V55" s="858"/>
      <c r="W55" s="858"/>
      <c r="X55" s="858"/>
      <c r="Y55" s="858"/>
      <c r="Z55" s="858"/>
    </row>
    <row r="56" spans="1:26" ht="18.75">
      <c r="A56" s="859"/>
      <c r="B56" s="860"/>
      <c r="C56" s="860"/>
      <c r="D56" s="861" t="s">
        <v>20</v>
      </c>
      <c r="E56" s="860"/>
      <c r="F56" s="860"/>
      <c r="G56" s="862"/>
      <c r="H56" s="617" t="s">
        <v>12</v>
      </c>
      <c r="I56" s="863"/>
      <c r="J56" s="863"/>
      <c r="K56" s="864"/>
      <c r="L56" s="864">
        <f t="shared" ref="L56:N56" ca="1" si="35">L57+L58</f>
        <v>954500</v>
      </c>
      <c r="M56" s="864">
        <f t="shared" ca="1" si="35"/>
        <v>715875</v>
      </c>
      <c r="N56" s="864">
        <f t="shared" ca="1" si="35"/>
        <v>485376.81</v>
      </c>
      <c r="O56" s="864">
        <f t="shared" ca="1" si="32"/>
        <v>50.85142063907805</v>
      </c>
      <c r="P56" s="864">
        <f t="shared" ca="1" si="33"/>
        <v>67.801894185437405</v>
      </c>
      <c r="Q56" s="851"/>
      <c r="R56" s="851"/>
      <c r="S56" s="851"/>
      <c r="T56" s="851"/>
      <c r="U56" s="851"/>
      <c r="V56" s="851"/>
      <c r="W56" s="851"/>
      <c r="X56" s="851"/>
      <c r="Y56" s="851"/>
      <c r="Z56" s="851"/>
    </row>
    <row r="57" spans="1:26" ht="18.75" hidden="1">
      <c r="A57" s="865"/>
      <c r="B57" s="866"/>
      <c r="C57" s="866"/>
      <c r="D57" s="866"/>
      <c r="E57" s="867" t="s">
        <v>18</v>
      </c>
      <c r="F57" s="866"/>
      <c r="G57" s="868"/>
      <c r="H57" s="43" t="s">
        <v>12</v>
      </c>
      <c r="I57" s="869"/>
      <c r="J57" s="869"/>
      <c r="K57" s="870"/>
      <c r="L57" s="870">
        <v>0</v>
      </c>
      <c r="M57" s="870">
        <v>0</v>
      </c>
      <c r="N57" s="870">
        <v>0</v>
      </c>
      <c r="O57" s="870">
        <f t="shared" si="32"/>
        <v>0</v>
      </c>
      <c r="P57" s="870">
        <f t="shared" si="33"/>
        <v>0</v>
      </c>
      <c r="Q57" s="858"/>
      <c r="R57" s="858"/>
      <c r="S57" s="858"/>
      <c r="T57" s="858"/>
      <c r="U57" s="858"/>
      <c r="V57" s="858"/>
      <c r="W57" s="858"/>
      <c r="X57" s="858"/>
      <c r="Y57" s="858"/>
      <c r="Z57" s="858"/>
    </row>
    <row r="58" spans="1:26" ht="18.75" hidden="1">
      <c r="A58" s="865"/>
      <c r="B58" s="866"/>
      <c r="C58" s="866"/>
      <c r="D58" s="866"/>
      <c r="E58" s="867" t="s">
        <v>19</v>
      </c>
      <c r="F58" s="866"/>
      <c r="G58" s="868"/>
      <c r="H58" s="43" t="s">
        <v>12</v>
      </c>
      <c r="I58" s="869"/>
      <c r="J58" s="869"/>
      <c r="K58" s="870"/>
      <c r="L58" s="870">
        <f ca="1">IFERROR(__xludf.DUMMYFUNCTION("IMPORTRANGE(""https://docs.google.com/spreadsheets/d/1MeEWN-I1oV_STSDYn1IFDPWt_1FKiwhDph83XaGc0o0/edit?usp=sharing"",""งบพรบ!W51"")"),954500)</f>
        <v>954500</v>
      </c>
      <c r="M58" s="870">
        <f ca="1">IFERROR(__xludf.DUMMYFUNCTION("IMPORTRANGE(""https://docs.google.com/spreadsheets/d/1MeEWN-I1oV_STSDYn1IFDPWt_1FKiwhDph83XaGc0o0/edit?usp=sharing"",""งบพรบ!AB51"")"),715875)</f>
        <v>715875</v>
      </c>
      <c r="N58" s="870">
        <f ca="1">IFERROR(__xludf.DUMMYFUNCTION("IMPORTRANGE(""https://docs.google.com/spreadsheets/d/1MeEWN-I1oV_STSDYn1IFDPWt_1FKiwhDph83XaGc0o0/edit?usp=sharing"",""งบพรบ!AD51"")"),485376.81)</f>
        <v>485376.81</v>
      </c>
      <c r="O58" s="870">
        <f t="shared" ca="1" si="32"/>
        <v>50.85142063907805</v>
      </c>
      <c r="P58" s="870">
        <f t="shared" ca="1" si="33"/>
        <v>67.801894185437405</v>
      </c>
      <c r="Q58" s="858"/>
      <c r="R58" s="858"/>
      <c r="S58" s="858"/>
      <c r="T58" s="858"/>
      <c r="U58" s="858"/>
      <c r="V58" s="858"/>
      <c r="W58" s="858"/>
      <c r="X58" s="858"/>
      <c r="Y58" s="858"/>
      <c r="Z58" s="858"/>
    </row>
    <row r="59" spans="1:26" ht="18.75">
      <c r="A59" s="859"/>
      <c r="B59" s="860"/>
      <c r="C59" s="860"/>
      <c r="D59" s="861" t="s">
        <v>21</v>
      </c>
      <c r="E59" s="860"/>
      <c r="F59" s="860"/>
      <c r="G59" s="862"/>
      <c r="H59" s="617" t="s">
        <v>12</v>
      </c>
      <c r="I59" s="863"/>
      <c r="J59" s="863"/>
      <c r="K59" s="864"/>
      <c r="L59" s="864">
        <f t="shared" ref="L59:N59" ca="1" si="36">L60+L61</f>
        <v>899000</v>
      </c>
      <c r="M59" s="864">
        <f t="shared" ca="1" si="36"/>
        <v>867992</v>
      </c>
      <c r="N59" s="864">
        <f t="shared" ca="1" si="36"/>
        <v>867992</v>
      </c>
      <c r="O59" s="864">
        <f t="shared" ca="1" si="32"/>
        <v>96.550834260289207</v>
      </c>
      <c r="P59" s="864">
        <f t="shared" ca="1" si="33"/>
        <v>100</v>
      </c>
      <c r="Q59" s="851"/>
      <c r="R59" s="851"/>
      <c r="S59" s="851"/>
      <c r="T59" s="851"/>
      <c r="U59" s="851"/>
      <c r="V59" s="851"/>
      <c r="W59" s="851"/>
      <c r="X59" s="851"/>
      <c r="Y59" s="851"/>
      <c r="Z59" s="851"/>
    </row>
    <row r="60" spans="1:26" ht="18.75" hidden="1">
      <c r="A60" s="865"/>
      <c r="B60" s="866"/>
      <c r="C60" s="866"/>
      <c r="D60" s="866"/>
      <c r="E60" s="867" t="s">
        <v>18</v>
      </c>
      <c r="F60" s="866"/>
      <c r="G60" s="868"/>
      <c r="H60" s="43" t="s">
        <v>12</v>
      </c>
      <c r="I60" s="869"/>
      <c r="J60" s="869"/>
      <c r="K60" s="870"/>
      <c r="L60" s="870">
        <v>0</v>
      </c>
      <c r="M60" s="870">
        <v>0</v>
      </c>
      <c r="N60" s="870">
        <v>0</v>
      </c>
      <c r="O60" s="870">
        <f t="shared" si="32"/>
        <v>0</v>
      </c>
      <c r="P60" s="870">
        <f t="shared" si="33"/>
        <v>0</v>
      </c>
      <c r="Q60" s="858"/>
      <c r="R60" s="858"/>
      <c r="S60" s="858"/>
      <c r="T60" s="858"/>
      <c r="U60" s="858"/>
      <c r="V60" s="858"/>
      <c r="W60" s="858"/>
      <c r="X60" s="858"/>
      <c r="Y60" s="858"/>
      <c r="Z60" s="858"/>
    </row>
    <row r="61" spans="1:26" ht="18.75" hidden="1">
      <c r="A61" s="871"/>
      <c r="B61" s="872"/>
      <c r="C61" s="872"/>
      <c r="D61" s="872"/>
      <c r="E61" s="873" t="s">
        <v>19</v>
      </c>
      <c r="F61" s="872"/>
      <c r="G61" s="874"/>
      <c r="H61" s="50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IFERROR(__xludf.DUMMYFUNCTION("IMPORTRANGE(""https://docs.google.com/spreadsheets/d/1MeEWN-I1oV_STSDYn1IFDPWt_1FKiwhDph83XaGc0o0/edit?usp=sharing"",""งบพรบ!Z51"")"),899000)</f>
        <v>899000</v>
      </c>
      <c r="M61" s="876">
        <f ca="1">IFERROR(__xludf.DUMMYFUNCTION("IMPORTRANGE(""https://docs.google.com/spreadsheets/d/1MeEWN-I1oV_STSDYn1IFDPWt_1FKiwhDph83XaGc0o0/edit?usp=sharing"",""งบพรบ!AC51"")"),867992)</f>
        <v>867992</v>
      </c>
      <c r="N61" s="876">
        <f ca="1">IFERROR(__xludf.DUMMYFUNCTION("IMPORTRANGE(""https://docs.google.com/spreadsheets/d/1MeEWN-I1oV_STSDYn1IFDPWt_1FKiwhDph83XaGc0o0/edit?usp=sharing"",""งบพรบ!AE51"")"),867992)</f>
        <v>867992</v>
      </c>
      <c r="O61" s="876">
        <f t="shared" ca="1" si="32"/>
        <v>96.550834260289207</v>
      </c>
      <c r="P61" s="876">
        <f t="shared" ca="1" si="33"/>
        <v>100</v>
      </c>
      <c r="Q61" s="858"/>
      <c r="R61" s="858"/>
      <c r="S61" s="858"/>
      <c r="T61" s="858"/>
      <c r="U61" s="858"/>
      <c r="V61" s="858"/>
      <c r="W61" s="858"/>
      <c r="X61" s="858"/>
      <c r="Y61" s="858"/>
      <c r="Z61" s="858"/>
    </row>
    <row r="62" spans="1:26" ht="19.5">
      <c r="A62" s="943" t="s">
        <v>31</v>
      </c>
      <c r="B62" s="944"/>
      <c r="C62" s="944"/>
      <c r="D62" s="944"/>
      <c r="E62" s="945"/>
      <c r="F62" s="945"/>
      <c r="G62" s="946"/>
      <c r="H62" s="947"/>
      <c r="I62" s="948"/>
      <c r="J62" s="948"/>
      <c r="K62" s="949"/>
      <c r="L62" s="949"/>
      <c r="M62" s="949"/>
      <c r="N62" s="949"/>
      <c r="O62" s="949"/>
      <c r="P62" s="949"/>
    </row>
    <row r="63" spans="1:26" ht="19.5">
      <c r="A63" s="950" t="s">
        <v>32</v>
      </c>
      <c r="B63" s="951"/>
      <c r="C63" s="952"/>
      <c r="D63" s="951"/>
      <c r="E63" s="951"/>
      <c r="F63" s="951"/>
      <c r="G63" s="953"/>
      <c r="H63" s="954"/>
      <c r="I63" s="955"/>
      <c r="J63" s="955"/>
      <c r="K63" s="956"/>
      <c r="L63" s="956"/>
      <c r="M63" s="956"/>
      <c r="N63" s="956"/>
      <c r="O63" s="956"/>
      <c r="P63" s="956"/>
    </row>
    <row r="64" spans="1:26" ht="19.5">
      <c r="A64" s="957"/>
      <c r="B64" s="958" t="s">
        <v>33</v>
      </c>
      <c r="C64" s="959"/>
      <c r="D64" s="960"/>
      <c r="E64" s="959"/>
      <c r="F64" s="959"/>
      <c r="G64" s="961"/>
      <c r="H64" s="205" t="s">
        <v>34</v>
      </c>
      <c r="I64" s="962">
        <f t="shared" ref="I64:J65" ca="1" si="37">I76</f>
        <v>1</v>
      </c>
      <c r="J64" s="962">
        <f t="shared" si="37"/>
        <v>1</v>
      </c>
      <c r="K64" s="963">
        <f t="shared" ref="K64:K65" ca="1" si="38">IF(I64&gt;0,J64*100/I64,0)</f>
        <v>100</v>
      </c>
      <c r="L64" s="964"/>
      <c r="M64" s="964"/>
      <c r="N64" s="964"/>
      <c r="O64" s="964"/>
      <c r="P64" s="964"/>
    </row>
    <row r="65" spans="1:26" ht="19.5">
      <c r="A65" s="957"/>
      <c r="B65" s="959"/>
      <c r="C65" s="959"/>
      <c r="D65" s="960"/>
      <c r="E65" s="959"/>
      <c r="F65" s="959"/>
      <c r="G65" s="961"/>
      <c r="H65" s="205" t="s">
        <v>35</v>
      </c>
      <c r="I65" s="962">
        <f t="shared" ca="1" si="37"/>
        <v>35</v>
      </c>
      <c r="J65" s="962">
        <f t="shared" si="37"/>
        <v>35</v>
      </c>
      <c r="K65" s="963">
        <f t="shared" ca="1" si="38"/>
        <v>100</v>
      </c>
      <c r="L65" s="964"/>
      <c r="M65" s="964"/>
      <c r="N65" s="964"/>
      <c r="O65" s="964"/>
      <c r="P65" s="964"/>
    </row>
    <row r="66" spans="1:26" ht="19.5">
      <c r="A66" s="965"/>
      <c r="B66" s="966"/>
      <c r="C66" s="967" t="s">
        <v>16</v>
      </c>
      <c r="D66" s="968" t="s">
        <v>17</v>
      </c>
      <c r="E66" s="966"/>
      <c r="F66" s="966"/>
      <c r="G66" s="969"/>
      <c r="H66" s="152" t="s">
        <v>12</v>
      </c>
      <c r="I66" s="970"/>
      <c r="J66" s="970"/>
      <c r="K66" s="971"/>
      <c r="L66" s="972">
        <f t="shared" ref="L66:N66" ca="1" si="39">L67+L68</f>
        <v>412000</v>
      </c>
      <c r="M66" s="972">
        <f t="shared" ca="1" si="39"/>
        <v>315950</v>
      </c>
      <c r="N66" s="972">
        <f t="shared" ca="1" si="39"/>
        <v>279633.59999999998</v>
      </c>
      <c r="O66" s="972">
        <f t="shared" ref="O66:O74" ca="1" si="40">IF(L66&gt;0,N66*100/L66,0)</f>
        <v>67.872233009708722</v>
      </c>
      <c r="P66" s="972">
        <f t="shared" ref="P66:P74" ca="1" si="41">IF(M66&gt;0,N66*100/M66,0)</f>
        <v>88.505649628105701</v>
      </c>
      <c r="Q66" s="851"/>
      <c r="R66" s="851"/>
      <c r="S66" s="851"/>
      <c r="T66" s="851"/>
      <c r="U66" s="851"/>
      <c r="V66" s="851"/>
      <c r="W66" s="851"/>
      <c r="X66" s="851"/>
      <c r="Y66" s="851"/>
      <c r="Z66" s="851"/>
    </row>
    <row r="67" spans="1:26" ht="18.75" hidden="1">
      <c r="A67" s="973"/>
      <c r="B67" s="866"/>
      <c r="C67" s="866"/>
      <c r="D67" s="866"/>
      <c r="E67" s="867" t="s">
        <v>18</v>
      </c>
      <c r="F67" s="866"/>
      <c r="G67" s="974"/>
      <c r="H67" s="158" t="s">
        <v>12</v>
      </c>
      <c r="I67" s="869"/>
      <c r="J67" s="869"/>
      <c r="K67" s="870"/>
      <c r="L67" s="870">
        <f t="shared" ref="L67:N68" si="42">L70+L73</f>
        <v>0</v>
      </c>
      <c r="M67" s="870">
        <f t="shared" si="42"/>
        <v>0</v>
      </c>
      <c r="N67" s="870">
        <f t="shared" si="42"/>
        <v>0</v>
      </c>
      <c r="O67" s="870">
        <f t="shared" si="40"/>
        <v>0</v>
      </c>
      <c r="P67" s="870">
        <f t="shared" si="41"/>
        <v>0</v>
      </c>
      <c r="Q67" s="858"/>
      <c r="R67" s="858"/>
      <c r="S67" s="858"/>
      <c r="T67" s="858"/>
      <c r="U67" s="858"/>
      <c r="V67" s="858"/>
      <c r="W67" s="858"/>
      <c r="X67" s="858"/>
      <c r="Y67" s="858"/>
      <c r="Z67" s="858"/>
    </row>
    <row r="68" spans="1:26" ht="18.75" hidden="1">
      <c r="A68" s="973"/>
      <c r="B68" s="866"/>
      <c r="C68" s="866"/>
      <c r="D68" s="866"/>
      <c r="E68" s="867" t="s">
        <v>19</v>
      </c>
      <c r="F68" s="866"/>
      <c r="G68" s="974"/>
      <c r="H68" s="158" t="s">
        <v>12</v>
      </c>
      <c r="I68" s="869"/>
      <c r="J68" s="869"/>
      <c r="K68" s="870"/>
      <c r="L68" s="870">
        <f t="shared" ca="1" si="42"/>
        <v>412000</v>
      </c>
      <c r="M68" s="870">
        <f t="shared" ca="1" si="42"/>
        <v>315950</v>
      </c>
      <c r="N68" s="870">
        <f t="shared" ca="1" si="42"/>
        <v>279633.59999999998</v>
      </c>
      <c r="O68" s="870">
        <f t="shared" ca="1" si="40"/>
        <v>67.872233009708722</v>
      </c>
      <c r="P68" s="870">
        <f t="shared" ca="1" si="41"/>
        <v>88.505649628105701</v>
      </c>
      <c r="Q68" s="858"/>
      <c r="R68" s="858"/>
      <c r="S68" s="858"/>
      <c r="T68" s="858"/>
      <c r="U68" s="858"/>
      <c r="V68" s="858"/>
      <c r="W68" s="858"/>
      <c r="X68" s="858"/>
      <c r="Y68" s="858"/>
      <c r="Z68" s="858"/>
    </row>
    <row r="69" spans="1:26" ht="18.75">
      <c r="A69" s="975"/>
      <c r="B69" s="860"/>
      <c r="C69" s="976"/>
      <c r="D69" s="861" t="s">
        <v>20</v>
      </c>
      <c r="E69" s="860"/>
      <c r="F69" s="860"/>
      <c r="G69" s="862"/>
      <c r="H69" s="161" t="s">
        <v>12</v>
      </c>
      <c r="I69" s="977"/>
      <c r="J69" s="977"/>
      <c r="K69" s="978"/>
      <c r="L69" s="864">
        <f t="shared" ref="L69:N69" ca="1" si="43">L70+L71</f>
        <v>412000</v>
      </c>
      <c r="M69" s="864">
        <f t="shared" ca="1" si="43"/>
        <v>315950</v>
      </c>
      <c r="N69" s="864">
        <f t="shared" ca="1" si="43"/>
        <v>279633.59999999998</v>
      </c>
      <c r="O69" s="864">
        <f t="shared" ca="1" si="40"/>
        <v>67.872233009708722</v>
      </c>
      <c r="P69" s="864">
        <f t="shared" ca="1" si="41"/>
        <v>88.505649628105701</v>
      </c>
      <c r="Q69" s="851"/>
      <c r="R69" s="851"/>
      <c r="S69" s="851"/>
      <c r="T69" s="851"/>
      <c r="U69" s="851"/>
      <c r="V69" s="851"/>
      <c r="W69" s="851"/>
      <c r="X69" s="851"/>
      <c r="Y69" s="851"/>
      <c r="Z69" s="851"/>
    </row>
    <row r="70" spans="1:26" ht="19.5" hidden="1">
      <c r="A70" s="973"/>
      <c r="B70" s="866"/>
      <c r="C70" s="979"/>
      <c r="D70" s="866"/>
      <c r="E70" s="867" t="s">
        <v>36</v>
      </c>
      <c r="F70" s="866"/>
      <c r="G70" s="974"/>
      <c r="H70" s="165" t="s">
        <v>12</v>
      </c>
      <c r="I70" s="980"/>
      <c r="J70" s="980"/>
      <c r="K70" s="981"/>
      <c r="L70" s="870">
        <v>0</v>
      </c>
      <c r="M70" s="870">
        <v>0</v>
      </c>
      <c r="N70" s="870">
        <v>0</v>
      </c>
      <c r="O70" s="870">
        <f t="shared" si="40"/>
        <v>0</v>
      </c>
      <c r="P70" s="870">
        <f t="shared" si="41"/>
        <v>0</v>
      </c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26" ht="19.5" hidden="1">
      <c r="A71" s="973"/>
      <c r="B71" s="866"/>
      <c r="C71" s="979"/>
      <c r="D71" s="866"/>
      <c r="E71" s="867" t="s">
        <v>37</v>
      </c>
      <c r="F71" s="866"/>
      <c r="G71" s="974"/>
      <c r="H71" s="165" t="s">
        <v>12</v>
      </c>
      <c r="I71" s="980"/>
      <c r="J71" s="980"/>
      <c r="K71" s="981"/>
      <c r="L71" s="870">
        <f ca="1">IFERROR(__xludf.DUMMYFUNCTION("IMPORTRANGE(""https://docs.google.com/spreadsheets/d/1MeEWN-I1oV_STSDYn1IFDPWt_1FKiwhDph83XaGc0o0/edit?usp=sharing"",""งบพรบ!AG51"")"),412000)</f>
        <v>412000</v>
      </c>
      <c r="M71" s="870">
        <f ca="1">IFERROR(__xludf.DUMMYFUNCTION("IMPORTRANGE(""https://docs.google.com/spreadsheets/d/1MeEWN-I1oV_STSDYn1IFDPWt_1FKiwhDph83XaGc0o0/edit?usp=sharing"",""งบพรบ!AL51"")"),315950)</f>
        <v>315950</v>
      </c>
      <c r="N71" s="870">
        <f ca="1">IFERROR(__xludf.DUMMYFUNCTION("IMPORTRANGE(""https://docs.google.com/spreadsheets/d/1MeEWN-I1oV_STSDYn1IFDPWt_1FKiwhDph83XaGc0o0/edit?usp=sharing"",""งบพรบ!AN51"")"),279633.6)</f>
        <v>279633.59999999998</v>
      </c>
      <c r="O71" s="870">
        <f t="shared" ca="1" si="40"/>
        <v>67.872233009708722</v>
      </c>
      <c r="P71" s="870">
        <f t="shared" ca="1" si="41"/>
        <v>88.505649628105701</v>
      </c>
      <c r="Q71" s="858"/>
      <c r="R71" s="858"/>
      <c r="S71" s="858"/>
      <c r="T71" s="858"/>
      <c r="U71" s="858"/>
      <c r="V71" s="858"/>
      <c r="W71" s="858"/>
      <c r="X71" s="858"/>
      <c r="Y71" s="858"/>
      <c r="Z71" s="858"/>
    </row>
    <row r="72" spans="1:26" ht="18.75">
      <c r="A72" s="975"/>
      <c r="B72" s="860"/>
      <c r="C72" s="976"/>
      <c r="D72" s="861" t="s">
        <v>21</v>
      </c>
      <c r="E72" s="860"/>
      <c r="F72" s="860"/>
      <c r="G72" s="862"/>
      <c r="H72" s="168" t="s">
        <v>12</v>
      </c>
      <c r="I72" s="977"/>
      <c r="J72" s="977"/>
      <c r="K72" s="978"/>
      <c r="L72" s="864">
        <f t="shared" ref="L72:N72" ca="1" si="44">L73+L74</f>
        <v>0</v>
      </c>
      <c r="M72" s="864">
        <f t="shared" ca="1" si="44"/>
        <v>0</v>
      </c>
      <c r="N72" s="864">
        <f t="shared" ca="1" si="44"/>
        <v>0</v>
      </c>
      <c r="O72" s="864">
        <f t="shared" ca="1" si="40"/>
        <v>0</v>
      </c>
      <c r="P72" s="864">
        <f t="shared" ca="1" si="41"/>
        <v>0</v>
      </c>
      <c r="Q72" s="851"/>
      <c r="R72" s="851"/>
      <c r="S72" s="851"/>
      <c r="T72" s="851"/>
      <c r="U72" s="851"/>
      <c r="V72" s="851"/>
      <c r="W72" s="851"/>
      <c r="X72" s="851"/>
      <c r="Y72" s="851"/>
      <c r="Z72" s="851"/>
    </row>
    <row r="73" spans="1:26" ht="19.5" hidden="1">
      <c r="A73" s="973"/>
      <c r="B73" s="866"/>
      <c r="C73" s="979"/>
      <c r="D73" s="866"/>
      <c r="E73" s="867" t="s">
        <v>18</v>
      </c>
      <c r="F73" s="866"/>
      <c r="G73" s="974"/>
      <c r="H73" s="165" t="s">
        <v>12</v>
      </c>
      <c r="I73" s="980"/>
      <c r="J73" s="980"/>
      <c r="K73" s="981"/>
      <c r="L73" s="870">
        <v>0</v>
      </c>
      <c r="M73" s="870">
        <v>0</v>
      </c>
      <c r="N73" s="870">
        <v>0</v>
      </c>
      <c r="O73" s="870">
        <f t="shared" si="40"/>
        <v>0</v>
      </c>
      <c r="P73" s="870">
        <f t="shared" si="41"/>
        <v>0</v>
      </c>
      <c r="Q73" s="858"/>
      <c r="R73" s="858"/>
      <c r="S73" s="858"/>
      <c r="T73" s="858"/>
      <c r="U73" s="858"/>
      <c r="V73" s="858"/>
      <c r="W73" s="858"/>
      <c r="X73" s="858"/>
      <c r="Y73" s="858"/>
      <c r="Z73" s="858"/>
    </row>
    <row r="74" spans="1:26" ht="19.5" hidden="1">
      <c r="A74" s="973"/>
      <c r="B74" s="866"/>
      <c r="C74" s="979"/>
      <c r="D74" s="866"/>
      <c r="E74" s="867" t="s">
        <v>19</v>
      </c>
      <c r="F74" s="866"/>
      <c r="G74" s="974"/>
      <c r="H74" s="169" t="s">
        <v>12</v>
      </c>
      <c r="I74" s="980"/>
      <c r="J74" s="980"/>
      <c r="K74" s="981"/>
      <c r="L74" s="870">
        <f ca="1">IFERROR(__xludf.DUMMYFUNCTION("IMPORTRANGE(""https://docs.google.com/spreadsheets/d/1MeEWN-I1oV_STSDYn1IFDPWt_1FKiwhDph83XaGc0o0/edit?usp=sharing"",""งบพรบ!AJ51"")"),0)</f>
        <v>0</v>
      </c>
      <c r="M74" s="870">
        <f ca="1">IFERROR(__xludf.DUMMYFUNCTION("IMPORTRANGE(""https://docs.google.com/spreadsheets/d/1MeEWN-I1oV_STSDYn1IFDPWt_1FKiwhDph83XaGc0o0/edit?usp=sharing"",""งบพรบ!AM51"")"),0)</f>
        <v>0</v>
      </c>
      <c r="N74" s="870">
        <f ca="1">IFERROR(__xludf.DUMMYFUNCTION("IMPORTRANGE(""https://docs.google.com/spreadsheets/d/1MeEWN-I1oV_STSDYn1IFDPWt_1FKiwhDph83XaGc0o0/edit?usp=sharing"",""งบพรบ!AO51"")"),0)</f>
        <v>0</v>
      </c>
      <c r="O74" s="870">
        <f t="shared" ca="1" si="40"/>
        <v>0</v>
      </c>
      <c r="P74" s="870">
        <f t="shared" ca="1" si="41"/>
        <v>0</v>
      </c>
      <c r="Q74" s="858"/>
      <c r="R74" s="858"/>
      <c r="S74" s="858"/>
      <c r="T74" s="858"/>
      <c r="U74" s="858"/>
      <c r="V74" s="858"/>
      <c r="W74" s="858"/>
      <c r="X74" s="858"/>
      <c r="Y74" s="858"/>
      <c r="Z74" s="858"/>
    </row>
    <row r="75" spans="1:26" ht="19.5">
      <c r="A75" s="982"/>
      <c r="B75" s="983"/>
      <c r="C75" s="979" t="s">
        <v>16</v>
      </c>
      <c r="D75" s="984" t="s">
        <v>38</v>
      </c>
      <c r="E75" s="985"/>
      <c r="F75" s="985"/>
      <c r="G75" s="986"/>
      <c r="H75" s="987"/>
      <c r="I75" s="977"/>
      <c r="J75" s="977"/>
      <c r="K75" s="978"/>
      <c r="L75" s="978"/>
      <c r="M75" s="978"/>
      <c r="N75" s="978"/>
      <c r="O75" s="978"/>
      <c r="P75" s="978"/>
    </row>
    <row r="76" spans="1:26" ht="19.5">
      <c r="A76" s="982"/>
      <c r="B76" s="983"/>
      <c r="C76" s="983"/>
      <c r="D76" s="988" t="s">
        <v>39</v>
      </c>
      <c r="E76" s="989"/>
      <c r="F76" s="990"/>
      <c r="G76" s="991"/>
      <c r="H76" s="180" t="s">
        <v>34</v>
      </c>
      <c r="I76" s="863">
        <f t="shared" ref="I76:J77" ca="1" si="45">I78+I80+I82</f>
        <v>1</v>
      </c>
      <c r="J76" s="863">
        <f t="shared" si="45"/>
        <v>1</v>
      </c>
      <c r="K76" s="978">
        <f t="shared" ref="K76:K84" ca="1" si="46">IF(I76&gt;0,J76*100/I76,0)</f>
        <v>100</v>
      </c>
      <c r="L76" s="978"/>
      <c r="M76" s="978"/>
      <c r="N76" s="978"/>
      <c r="O76" s="978"/>
      <c r="P76" s="978"/>
    </row>
    <row r="77" spans="1:26" ht="19.5">
      <c r="A77" s="982"/>
      <c r="B77" s="983"/>
      <c r="C77" s="983"/>
      <c r="D77" s="983"/>
      <c r="E77" s="990"/>
      <c r="F77" s="990"/>
      <c r="G77" s="991"/>
      <c r="H77" s="180" t="s">
        <v>35</v>
      </c>
      <c r="I77" s="863">
        <f t="shared" ca="1" si="45"/>
        <v>35</v>
      </c>
      <c r="J77" s="863">
        <f t="shared" si="45"/>
        <v>35</v>
      </c>
      <c r="K77" s="978">
        <f t="shared" ca="1" si="46"/>
        <v>100</v>
      </c>
      <c r="L77" s="978"/>
      <c r="M77" s="978"/>
      <c r="N77" s="978"/>
      <c r="O77" s="978"/>
      <c r="P77" s="978"/>
    </row>
    <row r="78" spans="1:26" ht="18.75">
      <c r="A78" s="982"/>
      <c r="B78" s="983"/>
      <c r="C78" s="983"/>
      <c r="D78" s="983"/>
      <c r="E78" s="989" t="s">
        <v>40</v>
      </c>
      <c r="F78" s="989"/>
      <c r="G78" s="991"/>
      <c r="H78" s="757" t="s">
        <v>34</v>
      </c>
      <c r="I78" s="977">
        <f ca="1">IFERROR(__xludf.DUMMYFUNCTION("IMPORTRANGE(""https://docs.google.com/spreadsheets/d/1QqKyyYR6Q21VydFLVH3TRQUabQu_ym0Zz7PgGX0-kHA/edit?usp=sharing"",""แผน!H51"")"),1)</f>
        <v>1</v>
      </c>
      <c r="J78" s="992">
        <v>1</v>
      </c>
      <c r="K78" s="978">
        <f t="shared" ca="1" si="46"/>
        <v>100</v>
      </c>
      <c r="L78" s="978"/>
      <c r="M78" s="978"/>
      <c r="N78" s="978"/>
      <c r="O78" s="978"/>
      <c r="P78" s="978"/>
    </row>
    <row r="79" spans="1:26" ht="18.75">
      <c r="A79" s="982"/>
      <c r="B79" s="983"/>
      <c r="C79" s="983"/>
      <c r="D79" s="983"/>
      <c r="E79" s="990"/>
      <c r="F79" s="990"/>
      <c r="G79" s="991"/>
      <c r="H79" s="757" t="s">
        <v>35</v>
      </c>
      <c r="I79" s="977">
        <f ca="1">IFERROR(__xludf.DUMMYFUNCTION("IMPORTRANGE(""https://docs.google.com/spreadsheets/d/1QqKyyYR6Q21VydFLVH3TRQUabQu_ym0Zz7PgGX0-kHA/edit?usp=sharing"",""แผน!I51"")"),35)</f>
        <v>35</v>
      </c>
      <c r="J79" s="992">
        <v>35</v>
      </c>
      <c r="K79" s="978">
        <f t="shared" ca="1" si="46"/>
        <v>100</v>
      </c>
      <c r="L79" s="978"/>
      <c r="M79" s="978"/>
      <c r="N79" s="978"/>
      <c r="O79" s="978"/>
      <c r="P79" s="978"/>
    </row>
    <row r="80" spans="1:26" ht="18.75">
      <c r="A80" s="982"/>
      <c r="B80" s="983"/>
      <c r="C80" s="983"/>
      <c r="D80" s="983"/>
      <c r="E80" s="989" t="s">
        <v>41</v>
      </c>
      <c r="F80" s="989"/>
      <c r="G80" s="991"/>
      <c r="H80" s="757" t="s">
        <v>34</v>
      </c>
      <c r="I80" s="977">
        <f ca="1">IFERROR(__xludf.DUMMYFUNCTION("IMPORTRANGE(""https://docs.google.com/spreadsheets/d/1QqKyyYR6Q21VydFLVH3TRQUabQu_ym0Zz7PgGX0-kHA/edit?usp=sharing"",""แผน!F51"")"),0)</f>
        <v>0</v>
      </c>
      <c r="J80" s="992">
        <v>0</v>
      </c>
      <c r="K80" s="978">
        <f t="shared" ca="1" si="46"/>
        <v>0</v>
      </c>
      <c r="L80" s="978"/>
      <c r="M80" s="978"/>
      <c r="N80" s="978"/>
      <c r="O80" s="978"/>
      <c r="P80" s="978"/>
    </row>
    <row r="81" spans="1:26" ht="18.75">
      <c r="A81" s="982"/>
      <c r="B81" s="983"/>
      <c r="C81" s="983"/>
      <c r="D81" s="983"/>
      <c r="E81" s="990"/>
      <c r="F81" s="990"/>
      <c r="G81" s="991"/>
      <c r="H81" s="757" t="s">
        <v>35</v>
      </c>
      <c r="I81" s="977">
        <f ca="1">IFERROR(__xludf.DUMMYFUNCTION("IMPORTRANGE(""https://docs.google.com/spreadsheets/d/1QqKyyYR6Q21VydFLVH3TRQUabQu_ym0Zz7PgGX0-kHA/edit?usp=sharing"",""แผน!G51"")"),0)</f>
        <v>0</v>
      </c>
      <c r="J81" s="992">
        <v>0</v>
      </c>
      <c r="K81" s="978">
        <f t="shared" ca="1" si="46"/>
        <v>0</v>
      </c>
      <c r="L81" s="978"/>
      <c r="M81" s="978"/>
      <c r="N81" s="978"/>
      <c r="O81" s="978"/>
      <c r="P81" s="978"/>
    </row>
    <row r="82" spans="1:26" ht="18.75">
      <c r="A82" s="982"/>
      <c r="B82" s="983"/>
      <c r="C82" s="983"/>
      <c r="D82" s="983"/>
      <c r="E82" s="989" t="s">
        <v>42</v>
      </c>
      <c r="F82" s="989"/>
      <c r="G82" s="991"/>
      <c r="H82" s="757" t="s">
        <v>34</v>
      </c>
      <c r="I82" s="977">
        <f ca="1">IFERROR(__xludf.DUMMYFUNCTION("IMPORTRANGE(""https://docs.google.com/spreadsheets/d/1QqKyyYR6Q21VydFLVH3TRQUabQu_ym0Zz7PgGX0-kHA/edit?usp=sharing"",""แผน!D51"")"),0)</f>
        <v>0</v>
      </c>
      <c r="J82" s="992">
        <v>0</v>
      </c>
      <c r="K82" s="978">
        <f t="shared" ca="1" si="46"/>
        <v>0</v>
      </c>
      <c r="L82" s="978"/>
      <c r="M82" s="978"/>
      <c r="N82" s="978"/>
      <c r="O82" s="978"/>
      <c r="P82" s="978"/>
    </row>
    <row r="83" spans="1:26" ht="18.75">
      <c r="A83" s="982"/>
      <c r="B83" s="983"/>
      <c r="C83" s="983"/>
      <c r="D83" s="983"/>
      <c r="E83" s="990"/>
      <c r="F83" s="990"/>
      <c r="G83" s="991"/>
      <c r="H83" s="757" t="s">
        <v>35</v>
      </c>
      <c r="I83" s="977">
        <f ca="1">IFERROR(__xludf.DUMMYFUNCTION("IMPORTRANGE(""https://docs.google.com/spreadsheets/d/1QqKyyYR6Q21VydFLVH3TRQUabQu_ym0Zz7PgGX0-kHA/edit?usp=sharing"",""แผน!E51"")"),0)</f>
        <v>0</v>
      </c>
      <c r="J83" s="992">
        <v>0</v>
      </c>
      <c r="K83" s="978">
        <f t="shared" ca="1" si="46"/>
        <v>0</v>
      </c>
      <c r="L83" s="978"/>
      <c r="M83" s="978"/>
      <c r="N83" s="978"/>
      <c r="O83" s="978"/>
      <c r="P83" s="978"/>
    </row>
    <row r="84" spans="1:26" ht="18.75">
      <c r="A84" s="982"/>
      <c r="B84" s="983"/>
      <c r="C84" s="983"/>
      <c r="D84" s="988" t="s">
        <v>43</v>
      </c>
      <c r="E84" s="989"/>
      <c r="F84" s="990"/>
      <c r="G84" s="991"/>
      <c r="H84" s="185" t="s">
        <v>34</v>
      </c>
      <c r="I84" s="977">
        <f ca="1">IFERROR(__xludf.DUMMYFUNCTION("IMPORTRANGE(""https://docs.google.com/spreadsheets/d/1QqKyyYR6Q21VydFLVH3TRQUabQu_ym0Zz7PgGX0-kHA/edit?usp=sharing"",""แผน!J51"")"),1)</f>
        <v>1</v>
      </c>
      <c r="J84" s="992">
        <v>0</v>
      </c>
      <c r="K84" s="978">
        <f t="shared" ca="1" si="46"/>
        <v>0</v>
      </c>
      <c r="L84" s="978"/>
      <c r="M84" s="978"/>
      <c r="N84" s="978"/>
      <c r="O84" s="978"/>
      <c r="P84" s="978"/>
    </row>
    <row r="85" spans="1:26" ht="19.5">
      <c r="A85" s="950" t="s">
        <v>44</v>
      </c>
      <c r="B85" s="951"/>
      <c r="C85" s="952"/>
      <c r="D85" s="951"/>
      <c r="E85" s="951"/>
      <c r="F85" s="951"/>
      <c r="G85" s="953"/>
      <c r="H85" s="954"/>
      <c r="I85" s="955"/>
      <c r="J85" s="955"/>
      <c r="K85" s="956"/>
      <c r="L85" s="956"/>
      <c r="M85" s="956"/>
      <c r="N85" s="956"/>
      <c r="O85" s="956"/>
      <c r="P85" s="956"/>
    </row>
    <row r="86" spans="1:26" ht="19.5">
      <c r="A86" s="957"/>
      <c r="B86" s="958" t="s">
        <v>45</v>
      </c>
      <c r="C86" s="959"/>
      <c r="D86" s="960"/>
      <c r="E86" s="959"/>
      <c r="F86" s="959"/>
      <c r="G86" s="961"/>
      <c r="H86" s="205" t="s">
        <v>46</v>
      </c>
      <c r="I86" s="962">
        <f t="shared" ref="I86:J87" ca="1" si="47">I98</f>
        <v>45</v>
      </c>
      <c r="J86" s="962">
        <f t="shared" si="47"/>
        <v>45</v>
      </c>
      <c r="K86" s="963">
        <f t="shared" ref="K86:K87" ca="1" si="48">IF(I86&gt;0,J86*100/I86,0)</f>
        <v>100</v>
      </c>
      <c r="L86" s="964"/>
      <c r="M86" s="964"/>
      <c r="N86" s="964"/>
      <c r="O86" s="964"/>
      <c r="P86" s="964"/>
    </row>
    <row r="87" spans="1:26" ht="19.5">
      <c r="A87" s="957"/>
      <c r="B87" s="959"/>
      <c r="C87" s="959"/>
      <c r="D87" s="960"/>
      <c r="E87" s="959"/>
      <c r="F87" s="959"/>
      <c r="G87" s="961"/>
      <c r="H87" s="205" t="s">
        <v>35</v>
      </c>
      <c r="I87" s="962">
        <f t="shared" ca="1" si="47"/>
        <v>15</v>
      </c>
      <c r="J87" s="962">
        <f t="shared" si="47"/>
        <v>15</v>
      </c>
      <c r="K87" s="963">
        <f t="shared" ca="1" si="48"/>
        <v>100</v>
      </c>
      <c r="L87" s="964"/>
      <c r="M87" s="964"/>
      <c r="N87" s="964"/>
      <c r="O87" s="964"/>
      <c r="P87" s="964"/>
    </row>
    <row r="88" spans="1:26" ht="19.5">
      <c r="A88" s="965"/>
      <c r="B88" s="966"/>
      <c r="C88" s="967" t="s">
        <v>16</v>
      </c>
      <c r="D88" s="968" t="s">
        <v>17</v>
      </c>
      <c r="E88" s="966"/>
      <c r="F88" s="966"/>
      <c r="G88" s="969"/>
      <c r="H88" s="152" t="s">
        <v>12</v>
      </c>
      <c r="I88" s="970"/>
      <c r="J88" s="970"/>
      <c r="K88" s="971"/>
      <c r="L88" s="972">
        <f t="shared" ref="L88:N88" ca="1" si="49">L89+L90</f>
        <v>98960</v>
      </c>
      <c r="M88" s="972">
        <f t="shared" ca="1" si="49"/>
        <v>63010</v>
      </c>
      <c r="N88" s="972">
        <f t="shared" ca="1" si="49"/>
        <v>48280</v>
      </c>
      <c r="O88" s="972">
        <f t="shared" ref="O88:O96" ca="1" si="50">IF(L88&gt;0,N88*100/L88,0)</f>
        <v>48.787388843977368</v>
      </c>
      <c r="P88" s="972">
        <f t="shared" ref="P88:P96" ca="1" si="51">IF(M88&gt;0,N88*100/M88,0)</f>
        <v>76.622758292334552</v>
      </c>
      <c r="Q88" s="851"/>
      <c r="R88" s="851"/>
      <c r="S88" s="851"/>
      <c r="T88" s="851"/>
      <c r="U88" s="851"/>
      <c r="V88" s="851"/>
      <c r="W88" s="851"/>
      <c r="X88" s="851"/>
      <c r="Y88" s="851"/>
      <c r="Z88" s="851"/>
    </row>
    <row r="89" spans="1:26" ht="18.75" hidden="1">
      <c r="A89" s="973"/>
      <c r="B89" s="866"/>
      <c r="C89" s="866"/>
      <c r="D89" s="866"/>
      <c r="E89" s="867" t="s">
        <v>18</v>
      </c>
      <c r="F89" s="866"/>
      <c r="G89" s="974"/>
      <c r="H89" s="158" t="s">
        <v>12</v>
      </c>
      <c r="I89" s="869"/>
      <c r="J89" s="869"/>
      <c r="K89" s="870"/>
      <c r="L89" s="870">
        <f t="shared" ref="L89:N90" si="52">L92+L95</f>
        <v>0</v>
      </c>
      <c r="M89" s="870">
        <f t="shared" si="52"/>
        <v>0</v>
      </c>
      <c r="N89" s="870">
        <f t="shared" si="52"/>
        <v>0</v>
      </c>
      <c r="O89" s="870">
        <f t="shared" si="50"/>
        <v>0</v>
      </c>
      <c r="P89" s="870">
        <f t="shared" si="51"/>
        <v>0</v>
      </c>
      <c r="Q89" s="858"/>
      <c r="R89" s="858"/>
      <c r="S89" s="858"/>
      <c r="T89" s="858"/>
      <c r="U89" s="858"/>
      <c r="V89" s="858"/>
      <c r="W89" s="858"/>
      <c r="X89" s="858"/>
      <c r="Y89" s="858"/>
      <c r="Z89" s="858"/>
    </row>
    <row r="90" spans="1:26" ht="18.75" hidden="1">
      <c r="A90" s="973"/>
      <c r="B90" s="866"/>
      <c r="C90" s="866"/>
      <c r="D90" s="866"/>
      <c r="E90" s="867" t="s">
        <v>19</v>
      </c>
      <c r="F90" s="866"/>
      <c r="G90" s="974"/>
      <c r="H90" s="158" t="s">
        <v>12</v>
      </c>
      <c r="I90" s="869"/>
      <c r="J90" s="869"/>
      <c r="K90" s="870"/>
      <c r="L90" s="870">
        <f t="shared" ca="1" si="52"/>
        <v>98960</v>
      </c>
      <c r="M90" s="870">
        <f t="shared" ca="1" si="52"/>
        <v>63010</v>
      </c>
      <c r="N90" s="870">
        <f t="shared" ca="1" si="52"/>
        <v>48280</v>
      </c>
      <c r="O90" s="870">
        <f t="shared" ca="1" si="50"/>
        <v>48.787388843977368</v>
      </c>
      <c r="P90" s="870">
        <f t="shared" ca="1" si="51"/>
        <v>76.622758292334552</v>
      </c>
      <c r="Q90" s="858"/>
      <c r="R90" s="858"/>
      <c r="S90" s="858"/>
      <c r="T90" s="858"/>
      <c r="U90" s="858"/>
      <c r="V90" s="858"/>
      <c r="W90" s="858"/>
      <c r="X90" s="858"/>
      <c r="Y90" s="858"/>
      <c r="Z90" s="858"/>
    </row>
    <row r="91" spans="1:26" ht="18.75">
      <c r="A91" s="975"/>
      <c r="B91" s="860"/>
      <c r="C91" s="976"/>
      <c r="D91" s="861" t="s">
        <v>20</v>
      </c>
      <c r="E91" s="860"/>
      <c r="F91" s="860"/>
      <c r="G91" s="862"/>
      <c r="H91" s="161" t="s">
        <v>12</v>
      </c>
      <c r="I91" s="977"/>
      <c r="J91" s="977"/>
      <c r="K91" s="978"/>
      <c r="L91" s="864">
        <f t="shared" ref="L91:N91" ca="1" si="53">L92+L93</f>
        <v>98960</v>
      </c>
      <c r="M91" s="864">
        <f t="shared" ca="1" si="53"/>
        <v>63010</v>
      </c>
      <c r="N91" s="864">
        <f t="shared" ca="1" si="53"/>
        <v>48280</v>
      </c>
      <c r="O91" s="864">
        <f t="shared" ca="1" si="50"/>
        <v>48.787388843977368</v>
      </c>
      <c r="P91" s="864">
        <f t="shared" ca="1" si="51"/>
        <v>76.622758292334552</v>
      </c>
      <c r="Q91" s="851"/>
      <c r="R91" s="851"/>
      <c r="S91" s="851"/>
      <c r="T91" s="851"/>
      <c r="U91" s="851"/>
      <c r="V91" s="851"/>
      <c r="W91" s="851"/>
      <c r="X91" s="851"/>
      <c r="Y91" s="851"/>
      <c r="Z91" s="851"/>
    </row>
    <row r="92" spans="1:26" ht="19.5" hidden="1">
      <c r="A92" s="973"/>
      <c r="B92" s="866"/>
      <c r="C92" s="979"/>
      <c r="D92" s="866"/>
      <c r="E92" s="867" t="s">
        <v>36</v>
      </c>
      <c r="F92" s="866"/>
      <c r="G92" s="974"/>
      <c r="H92" s="165" t="s">
        <v>12</v>
      </c>
      <c r="I92" s="980"/>
      <c r="J92" s="980"/>
      <c r="K92" s="981"/>
      <c r="L92" s="870">
        <v>0</v>
      </c>
      <c r="M92" s="870">
        <v>0</v>
      </c>
      <c r="N92" s="870">
        <v>0</v>
      </c>
      <c r="O92" s="870">
        <f t="shared" si="50"/>
        <v>0</v>
      </c>
      <c r="P92" s="870">
        <f t="shared" si="51"/>
        <v>0</v>
      </c>
      <c r="Q92" s="858"/>
      <c r="R92" s="858"/>
      <c r="S92" s="858"/>
      <c r="T92" s="858"/>
      <c r="U92" s="858"/>
      <c r="V92" s="858"/>
      <c r="W92" s="858"/>
      <c r="X92" s="858"/>
      <c r="Y92" s="858"/>
      <c r="Z92" s="858"/>
    </row>
    <row r="93" spans="1:26" ht="19.5" hidden="1">
      <c r="A93" s="973"/>
      <c r="B93" s="866"/>
      <c r="C93" s="979"/>
      <c r="D93" s="866"/>
      <c r="E93" s="867" t="s">
        <v>37</v>
      </c>
      <c r="F93" s="866"/>
      <c r="G93" s="974"/>
      <c r="H93" s="165" t="s">
        <v>12</v>
      </c>
      <c r="I93" s="980"/>
      <c r="J93" s="980"/>
      <c r="K93" s="981"/>
      <c r="L93" s="870">
        <f ca="1">IFERROR(__xludf.DUMMYFUNCTION("IMPORTRANGE(""https://docs.google.com/spreadsheets/d/1MeEWN-I1oV_STSDYn1IFDPWt_1FKiwhDph83XaGc0o0/edit?usp=sharing"",""งบพรบ!AQ51"")"),98960)</f>
        <v>98960</v>
      </c>
      <c r="M93" s="870">
        <f ca="1">IFERROR(__xludf.DUMMYFUNCTION("IMPORTRANGE(""https://docs.google.com/spreadsheets/d/1MeEWN-I1oV_STSDYn1IFDPWt_1FKiwhDph83XaGc0o0/edit?usp=sharing"",""งบพรบ!AV51"")"),63010)</f>
        <v>63010</v>
      </c>
      <c r="N93" s="870">
        <f ca="1">IFERROR(__xludf.DUMMYFUNCTION("IMPORTRANGE(""https://docs.google.com/spreadsheets/d/1MeEWN-I1oV_STSDYn1IFDPWt_1FKiwhDph83XaGc0o0/edit?usp=sharing"",""งบพรบ!AX51"")"),48280)</f>
        <v>48280</v>
      </c>
      <c r="O93" s="870">
        <f t="shared" ca="1" si="50"/>
        <v>48.787388843977368</v>
      </c>
      <c r="P93" s="870">
        <f t="shared" ca="1" si="51"/>
        <v>76.622758292334552</v>
      </c>
      <c r="Q93" s="858"/>
      <c r="R93" s="858"/>
      <c r="S93" s="858"/>
      <c r="T93" s="858"/>
      <c r="U93" s="858"/>
      <c r="V93" s="858"/>
      <c r="W93" s="858"/>
      <c r="X93" s="858"/>
      <c r="Y93" s="858"/>
      <c r="Z93" s="858"/>
    </row>
    <row r="94" spans="1:26" ht="18.75">
      <c r="A94" s="975"/>
      <c r="B94" s="860"/>
      <c r="C94" s="976"/>
      <c r="D94" s="861" t="s">
        <v>21</v>
      </c>
      <c r="E94" s="860"/>
      <c r="F94" s="860"/>
      <c r="G94" s="862"/>
      <c r="H94" s="168" t="s">
        <v>12</v>
      </c>
      <c r="I94" s="977"/>
      <c r="J94" s="977"/>
      <c r="K94" s="978"/>
      <c r="L94" s="864">
        <f t="shared" ref="L94:N94" ca="1" si="54">L95+L96</f>
        <v>0</v>
      </c>
      <c r="M94" s="864">
        <f t="shared" ca="1" si="54"/>
        <v>0</v>
      </c>
      <c r="N94" s="864">
        <f t="shared" ca="1" si="54"/>
        <v>0</v>
      </c>
      <c r="O94" s="864">
        <f t="shared" ca="1" si="50"/>
        <v>0</v>
      </c>
      <c r="P94" s="864">
        <f t="shared" ca="1" si="51"/>
        <v>0</v>
      </c>
      <c r="Q94" s="851"/>
      <c r="R94" s="851"/>
      <c r="S94" s="851"/>
      <c r="T94" s="851"/>
      <c r="U94" s="851"/>
      <c r="V94" s="851"/>
      <c r="W94" s="851"/>
      <c r="X94" s="851"/>
      <c r="Y94" s="851"/>
      <c r="Z94" s="851"/>
    </row>
    <row r="95" spans="1:26" ht="19.5" hidden="1">
      <c r="A95" s="973"/>
      <c r="B95" s="866"/>
      <c r="C95" s="979"/>
      <c r="D95" s="866"/>
      <c r="E95" s="867" t="s">
        <v>18</v>
      </c>
      <c r="F95" s="866"/>
      <c r="G95" s="974"/>
      <c r="H95" s="165" t="s">
        <v>12</v>
      </c>
      <c r="I95" s="980"/>
      <c r="J95" s="980"/>
      <c r="K95" s="981"/>
      <c r="L95" s="870">
        <v>0</v>
      </c>
      <c r="M95" s="870">
        <v>0</v>
      </c>
      <c r="N95" s="870">
        <v>0</v>
      </c>
      <c r="O95" s="870">
        <f t="shared" si="50"/>
        <v>0</v>
      </c>
      <c r="P95" s="870">
        <f t="shared" si="51"/>
        <v>0</v>
      </c>
      <c r="Q95" s="858"/>
      <c r="R95" s="858"/>
      <c r="S95" s="858"/>
      <c r="T95" s="858"/>
      <c r="U95" s="858"/>
      <c r="V95" s="858"/>
      <c r="W95" s="858"/>
      <c r="X95" s="858"/>
      <c r="Y95" s="858"/>
      <c r="Z95" s="858"/>
    </row>
    <row r="96" spans="1:26" ht="19.5" hidden="1">
      <c r="A96" s="973"/>
      <c r="B96" s="866"/>
      <c r="C96" s="979"/>
      <c r="D96" s="866"/>
      <c r="E96" s="867" t="s">
        <v>19</v>
      </c>
      <c r="F96" s="866"/>
      <c r="G96" s="974"/>
      <c r="H96" s="169" t="s">
        <v>12</v>
      </c>
      <c r="I96" s="980"/>
      <c r="J96" s="980"/>
      <c r="K96" s="981"/>
      <c r="L96" s="870">
        <f ca="1">IFERROR(__xludf.DUMMYFUNCTION("IMPORTRANGE(""https://docs.google.com/spreadsheets/d/1MeEWN-I1oV_STSDYn1IFDPWt_1FKiwhDph83XaGc0o0/edit?usp=sharing"",""งบพรบ!AT51"")"),0)</f>
        <v>0</v>
      </c>
      <c r="M96" s="870">
        <f ca="1">IFERROR(__xludf.DUMMYFUNCTION("IMPORTRANGE(""https://docs.google.com/spreadsheets/d/1MeEWN-I1oV_STSDYn1IFDPWt_1FKiwhDph83XaGc0o0/edit?usp=sharing"",""งบพรบ!AW51"")"),0)</f>
        <v>0</v>
      </c>
      <c r="N96" s="870">
        <f ca="1">IFERROR(__xludf.DUMMYFUNCTION("IMPORTRANGE(""https://docs.google.com/spreadsheets/d/1MeEWN-I1oV_STSDYn1IFDPWt_1FKiwhDph83XaGc0o0/edit?usp=sharing"",""งบพรบ!AY51"")"),0)</f>
        <v>0</v>
      </c>
      <c r="O96" s="870">
        <f t="shared" ca="1" si="50"/>
        <v>0</v>
      </c>
      <c r="P96" s="870">
        <f t="shared" ca="1" si="51"/>
        <v>0</v>
      </c>
      <c r="Q96" s="858"/>
      <c r="R96" s="858"/>
      <c r="S96" s="858"/>
      <c r="T96" s="858"/>
      <c r="U96" s="858"/>
      <c r="V96" s="858"/>
      <c r="W96" s="858"/>
      <c r="X96" s="858"/>
      <c r="Y96" s="858"/>
      <c r="Z96" s="858"/>
    </row>
    <row r="97" spans="1:16" ht="19.5">
      <c r="A97" s="982"/>
      <c r="B97" s="983"/>
      <c r="C97" s="979" t="s">
        <v>16</v>
      </c>
      <c r="D97" s="984" t="s">
        <v>38</v>
      </c>
      <c r="E97" s="985"/>
      <c r="F97" s="985"/>
      <c r="G97" s="986"/>
      <c r="H97" s="987"/>
      <c r="I97" s="977"/>
      <c r="J97" s="863"/>
      <c r="K97" s="864"/>
      <c r="L97" s="864"/>
      <c r="M97" s="864"/>
      <c r="N97" s="864"/>
      <c r="O97" s="978"/>
      <c r="P97" s="978"/>
    </row>
    <row r="98" spans="1:16" ht="18.75">
      <c r="A98" s="982"/>
      <c r="B98" s="983"/>
      <c r="C98" s="983"/>
      <c r="D98" s="989" t="s">
        <v>47</v>
      </c>
      <c r="E98" s="989"/>
      <c r="F98" s="990"/>
      <c r="G98" s="991"/>
      <c r="H98" s="617" t="s">
        <v>46</v>
      </c>
      <c r="I98" s="863">
        <f ca="1">IFERROR(__xludf.DUMMYFUNCTION("IMPORTRANGE(""https://docs.google.com/spreadsheets/d/1QqKyyYR6Q21VydFLVH3TRQUabQu_ym0Zz7PgGX0-kHA/edit?usp=sharing"",""แผน!K51"")"),45)</f>
        <v>45</v>
      </c>
      <c r="J98" s="863">
        <f>J102</f>
        <v>45</v>
      </c>
      <c r="K98" s="864">
        <f t="shared" ref="K98:K100" ca="1" si="55">IF(I98&gt;0,J98*100/I98,0)</f>
        <v>100</v>
      </c>
      <c r="L98" s="864"/>
      <c r="M98" s="864"/>
      <c r="N98" s="864"/>
      <c r="O98" s="978"/>
      <c r="P98" s="978"/>
    </row>
    <row r="99" spans="1:16" ht="18.75">
      <c r="A99" s="982"/>
      <c r="B99" s="983"/>
      <c r="C99" s="983"/>
      <c r="D99" s="989" t="s">
        <v>48</v>
      </c>
      <c r="E99" s="989"/>
      <c r="F99" s="990"/>
      <c r="G99" s="991"/>
      <c r="H99" s="617" t="s">
        <v>35</v>
      </c>
      <c r="I99" s="863">
        <f ca="1">IFERROR(__xludf.DUMMYFUNCTION("IMPORTRANGE(""https://docs.google.com/spreadsheets/d/1QqKyyYR6Q21VydFLVH3TRQUabQu_ym0Zz7PgGX0-kHA/edit?usp=sharing"",""แผน!L51"")"),15)</f>
        <v>15</v>
      </c>
      <c r="J99" s="863">
        <f>J104</f>
        <v>15</v>
      </c>
      <c r="K99" s="864">
        <f t="shared" ca="1" si="55"/>
        <v>100</v>
      </c>
      <c r="L99" s="864"/>
      <c r="M99" s="864"/>
      <c r="N99" s="864"/>
      <c r="O99" s="978"/>
      <c r="P99" s="978"/>
    </row>
    <row r="100" spans="1:16" ht="18.75">
      <c r="A100" s="982"/>
      <c r="B100" s="983"/>
      <c r="C100" s="983"/>
      <c r="D100" s="983"/>
      <c r="E100" s="990"/>
      <c r="F100" s="990"/>
      <c r="G100" s="991"/>
      <c r="H100" s="617" t="s">
        <v>49</v>
      </c>
      <c r="I100" s="863">
        <f ca="1">IFERROR(__xludf.DUMMYFUNCTION("IMPORTRANGE(""https://docs.google.com/spreadsheets/d/1QqKyyYR6Q21VydFLVH3TRQUabQu_ym0Zz7PgGX0-kHA/edit?usp=sharing"",""แผน!M51"")"),2)</f>
        <v>2</v>
      </c>
      <c r="J100" s="863">
        <f>J107+J110</f>
        <v>0</v>
      </c>
      <c r="K100" s="864">
        <f t="shared" ca="1" si="55"/>
        <v>0</v>
      </c>
      <c r="L100" s="864"/>
      <c r="M100" s="864"/>
      <c r="N100" s="864"/>
      <c r="O100" s="978"/>
      <c r="P100" s="978"/>
    </row>
    <row r="101" spans="1:16" ht="19.5">
      <c r="A101" s="982"/>
      <c r="B101" s="983"/>
      <c r="C101" s="983"/>
      <c r="D101" s="990"/>
      <c r="E101" s="993" t="s">
        <v>50</v>
      </c>
      <c r="F101" s="990"/>
      <c r="G101" s="991"/>
      <c r="H101" s="617"/>
      <c r="I101" s="863"/>
      <c r="J101" s="863"/>
      <c r="K101" s="864"/>
      <c r="L101" s="864"/>
      <c r="M101" s="864"/>
      <c r="N101" s="864"/>
      <c r="O101" s="978"/>
      <c r="P101" s="978"/>
    </row>
    <row r="102" spans="1:16" ht="18.75">
      <c r="A102" s="982"/>
      <c r="B102" s="983"/>
      <c r="C102" s="983"/>
      <c r="D102" s="990"/>
      <c r="E102" s="994" t="s">
        <v>47</v>
      </c>
      <c r="F102" s="990"/>
      <c r="G102" s="991"/>
      <c r="H102" s="617" t="s">
        <v>46</v>
      </c>
      <c r="I102" s="863">
        <f ca="1">IFERROR(__xludf.DUMMYFUNCTION("IMPORTRANGE(""https://docs.google.com/spreadsheets/d/1QqKyyYR6Q21VydFLVH3TRQUabQu_ym0Zz7PgGX0-kHA/edit?usp=sharing"",""แผน!N51"")"),45)</f>
        <v>45</v>
      </c>
      <c r="J102" s="992">
        <v>45</v>
      </c>
      <c r="K102" s="864">
        <f t="shared" ref="K102:K104" ca="1" si="56">IF(I102&gt;0,J102*100/I102,0)</f>
        <v>100</v>
      </c>
      <c r="L102" s="864"/>
      <c r="M102" s="864"/>
      <c r="N102" s="864"/>
      <c r="O102" s="978"/>
      <c r="P102" s="978"/>
    </row>
    <row r="103" spans="1:16" ht="19.5">
      <c r="A103" s="982"/>
      <c r="B103" s="983"/>
      <c r="C103" s="983"/>
      <c r="D103" s="990"/>
      <c r="E103" s="989" t="s">
        <v>51</v>
      </c>
      <c r="F103" s="990"/>
      <c r="G103" s="991"/>
      <c r="H103" s="617" t="s">
        <v>35</v>
      </c>
      <c r="I103" s="863">
        <f ca="1">IFERROR(__xludf.DUMMYFUNCTION("IMPORTRANGE(""https://docs.google.com/spreadsheets/d/1QqKyyYR6Q21VydFLVH3TRQUabQu_ym0Zz7PgGX0-kHA/edit?usp=sharing"",""แผน!O51"")"),15)</f>
        <v>15</v>
      </c>
      <c r="J103" s="992">
        <v>15</v>
      </c>
      <c r="K103" s="864">
        <f t="shared" ca="1" si="56"/>
        <v>100</v>
      </c>
      <c r="L103" s="864"/>
      <c r="M103" s="864"/>
      <c r="N103" s="864"/>
      <c r="O103" s="978"/>
      <c r="P103" s="978"/>
    </row>
    <row r="104" spans="1:16" ht="18.75">
      <c r="A104" s="982"/>
      <c r="B104" s="983"/>
      <c r="C104" s="983"/>
      <c r="D104" s="990"/>
      <c r="E104" s="995" t="s">
        <v>52</v>
      </c>
      <c r="F104" s="990"/>
      <c r="G104" s="991"/>
      <c r="H104" s="617" t="s">
        <v>35</v>
      </c>
      <c r="I104" s="863">
        <f ca="1">IFERROR(__xludf.DUMMYFUNCTION("IMPORTRANGE(""https://docs.google.com/spreadsheets/d/1QqKyyYR6Q21VydFLVH3TRQUabQu_ym0Zz7PgGX0-kHA/edit?usp=sharing"",""แผน!O51"")"),15)</f>
        <v>15</v>
      </c>
      <c r="J104" s="992">
        <v>15</v>
      </c>
      <c r="K104" s="864">
        <f t="shared" ca="1" si="56"/>
        <v>100</v>
      </c>
      <c r="L104" s="864"/>
      <c r="M104" s="864"/>
      <c r="N104" s="864"/>
      <c r="O104" s="978"/>
      <c r="P104" s="978"/>
    </row>
    <row r="105" spans="1:16" ht="19.5">
      <c r="A105" s="982"/>
      <c r="B105" s="983"/>
      <c r="C105" s="983"/>
      <c r="D105" s="990"/>
      <c r="E105" s="993" t="s">
        <v>53</v>
      </c>
      <c r="F105" s="990"/>
      <c r="G105" s="991"/>
      <c r="H105" s="996"/>
      <c r="I105" s="863"/>
      <c r="J105" s="863"/>
      <c r="K105" s="864"/>
      <c r="L105" s="864"/>
      <c r="M105" s="864"/>
      <c r="N105" s="864"/>
      <c r="O105" s="978"/>
      <c r="P105" s="978"/>
    </row>
    <row r="106" spans="1:16" ht="19.5">
      <c r="A106" s="982"/>
      <c r="B106" s="983"/>
      <c r="C106" s="983"/>
      <c r="D106" s="990"/>
      <c r="E106" s="989" t="s">
        <v>54</v>
      </c>
      <c r="F106" s="990"/>
      <c r="G106" s="991"/>
      <c r="H106" s="617" t="s">
        <v>49</v>
      </c>
      <c r="I106" s="863">
        <f ca="1">IFERROR(__xludf.DUMMYFUNCTION("IMPORTRANGE(""https://docs.google.com/spreadsheets/d/1QqKyyYR6Q21VydFLVH3TRQUabQu_ym0Zz7PgGX0-kHA/edit?usp=sharing"",""แผน!P51"")"),1)</f>
        <v>1</v>
      </c>
      <c r="J106" s="992">
        <v>0</v>
      </c>
      <c r="K106" s="864">
        <f t="shared" ref="K106:K107" ca="1" si="57">IF(I106&gt;0,J106*100/I106,0)</f>
        <v>0</v>
      </c>
      <c r="L106" s="864"/>
      <c r="M106" s="864"/>
      <c r="N106" s="864"/>
      <c r="O106" s="978"/>
      <c r="P106" s="978"/>
    </row>
    <row r="107" spans="1:16" ht="18.75">
      <c r="A107" s="982"/>
      <c r="B107" s="983"/>
      <c r="C107" s="983"/>
      <c r="D107" s="990"/>
      <c r="E107" s="995" t="s">
        <v>55</v>
      </c>
      <c r="F107" s="990"/>
      <c r="G107" s="991"/>
      <c r="H107" s="617" t="s">
        <v>49</v>
      </c>
      <c r="I107" s="863">
        <f ca="1">IFERROR(__xludf.DUMMYFUNCTION("IMPORTRANGE(""https://docs.google.com/spreadsheets/d/1QqKyyYR6Q21VydFLVH3TRQUabQu_ym0Zz7PgGX0-kHA/edit?usp=sharing"",""แผน!P51"")"),1)</f>
        <v>1</v>
      </c>
      <c r="J107" s="992">
        <v>0</v>
      </c>
      <c r="K107" s="864">
        <f t="shared" ca="1" si="57"/>
        <v>0</v>
      </c>
      <c r="L107" s="864"/>
      <c r="M107" s="864"/>
      <c r="N107" s="864"/>
      <c r="O107" s="978"/>
      <c r="P107" s="978"/>
    </row>
    <row r="108" spans="1:16" ht="19.5">
      <c r="A108" s="982"/>
      <c r="B108" s="983"/>
      <c r="C108" s="983"/>
      <c r="D108" s="990"/>
      <c r="E108" s="993" t="s">
        <v>56</v>
      </c>
      <c r="F108" s="990"/>
      <c r="G108" s="991"/>
      <c r="H108" s="996"/>
      <c r="I108" s="863"/>
      <c r="J108" s="863"/>
      <c r="K108" s="864"/>
      <c r="L108" s="864"/>
      <c r="M108" s="864"/>
      <c r="N108" s="864"/>
      <c r="O108" s="978"/>
      <c r="P108" s="978"/>
    </row>
    <row r="109" spans="1:16" ht="19.5">
      <c r="A109" s="982"/>
      <c r="B109" s="983"/>
      <c r="C109" s="983"/>
      <c r="D109" s="990"/>
      <c r="E109" s="989" t="s">
        <v>57</v>
      </c>
      <c r="F109" s="990"/>
      <c r="G109" s="991"/>
      <c r="H109" s="617" t="s">
        <v>49</v>
      </c>
      <c r="I109" s="863">
        <f ca="1">IFERROR(__xludf.DUMMYFUNCTION("IMPORTRANGE(""https://docs.google.com/spreadsheets/d/1QqKyyYR6Q21VydFLVH3TRQUabQu_ym0Zz7PgGX0-kHA/edit?usp=sharing"",""แผน!Q51"")"),1)</f>
        <v>1</v>
      </c>
      <c r="J109" s="992">
        <v>0</v>
      </c>
      <c r="K109" s="864">
        <f t="shared" ref="K109:K116" ca="1" si="58">IF(I109&gt;0,J109*100/I109,0)</f>
        <v>0</v>
      </c>
      <c r="L109" s="864"/>
      <c r="M109" s="864"/>
      <c r="N109" s="864"/>
      <c r="O109" s="978"/>
      <c r="P109" s="978"/>
    </row>
    <row r="110" spans="1:16" ht="18.75">
      <c r="A110" s="982"/>
      <c r="B110" s="983"/>
      <c r="C110" s="983"/>
      <c r="D110" s="990"/>
      <c r="E110" s="997" t="s">
        <v>58</v>
      </c>
      <c r="F110" s="990"/>
      <c r="G110" s="991"/>
      <c r="H110" s="617" t="s">
        <v>49</v>
      </c>
      <c r="I110" s="863">
        <f ca="1">IFERROR(__xludf.DUMMYFUNCTION("IMPORTRANGE(""https://docs.google.com/spreadsheets/d/1QqKyyYR6Q21VydFLVH3TRQUabQu_ym0Zz7PgGX0-kHA/edit?usp=sharing"",""แผน!Q51"")"),1)</f>
        <v>1</v>
      </c>
      <c r="J110" s="992">
        <v>0</v>
      </c>
      <c r="K110" s="864">
        <f t="shared" ca="1" si="58"/>
        <v>0</v>
      </c>
      <c r="L110" s="864"/>
      <c r="M110" s="864"/>
      <c r="N110" s="864"/>
      <c r="O110" s="978"/>
      <c r="P110" s="978"/>
    </row>
    <row r="111" spans="1:16" ht="19.5">
      <c r="A111" s="982"/>
      <c r="B111" s="983"/>
      <c r="C111" s="983"/>
      <c r="D111" s="993" t="s">
        <v>59</v>
      </c>
      <c r="E111" s="993"/>
      <c r="F111" s="990"/>
      <c r="G111" s="991"/>
      <c r="H111" s="760" t="s">
        <v>35</v>
      </c>
      <c r="I111" s="998">
        <f ca="1">IFERROR(__xludf.DUMMYFUNCTION("IMPORTRANGE(""https://docs.google.com/spreadsheets/d/1QqKyyYR6Q21VydFLVH3TRQUabQu_ym0Zz7PgGX0-kHA/edit?usp=sharing"",""แผน!R51"")"),15)</f>
        <v>15</v>
      </c>
      <c r="J111" s="999">
        <f>J114</f>
        <v>0</v>
      </c>
      <c r="K111" s="1000">
        <f t="shared" ca="1" si="58"/>
        <v>0</v>
      </c>
      <c r="L111" s="864"/>
      <c r="M111" s="864"/>
      <c r="N111" s="864"/>
      <c r="O111" s="978"/>
      <c r="P111" s="978"/>
    </row>
    <row r="112" spans="1:16" ht="19.5">
      <c r="A112" s="982"/>
      <c r="B112" s="983"/>
      <c r="C112" s="983"/>
      <c r="D112" s="983"/>
      <c r="E112" s="990"/>
      <c r="F112" s="990"/>
      <c r="G112" s="991"/>
      <c r="H112" s="196" t="s">
        <v>49</v>
      </c>
      <c r="I112" s="998">
        <f t="shared" ref="I112:J112" ca="1" si="59">I115+I116</f>
        <v>2</v>
      </c>
      <c r="J112" s="999">
        <f t="shared" si="59"/>
        <v>0</v>
      </c>
      <c r="K112" s="1000">
        <f t="shared" ca="1" si="58"/>
        <v>0</v>
      </c>
      <c r="L112" s="864"/>
      <c r="M112" s="864"/>
      <c r="N112" s="864"/>
      <c r="O112" s="978"/>
      <c r="P112" s="978"/>
    </row>
    <row r="113" spans="1:26" ht="19.5">
      <c r="A113" s="982"/>
      <c r="B113" s="983"/>
      <c r="C113" s="983"/>
      <c r="D113" s="983"/>
      <c r="E113" s="1001" t="s">
        <v>60</v>
      </c>
      <c r="F113" s="990"/>
      <c r="G113" s="991"/>
      <c r="H113" s="198" t="s">
        <v>35</v>
      </c>
      <c r="I113" s="977">
        <f ca="1">IFERROR(__xludf.DUMMYFUNCTION("IMPORTRANGE(""https://docs.google.com/spreadsheets/d/1QqKyyYR6Q21VydFLVH3TRQUabQu_ym0Zz7PgGX0-kHA/edit?usp=sharing"",""แผน!R51"")"),15)</f>
        <v>15</v>
      </c>
      <c r="J113" s="992">
        <v>0</v>
      </c>
      <c r="K113" s="864">
        <f t="shared" ca="1" si="58"/>
        <v>0</v>
      </c>
      <c r="L113" s="864"/>
      <c r="M113" s="864"/>
      <c r="N113" s="864"/>
      <c r="O113" s="978"/>
      <c r="P113" s="978"/>
    </row>
    <row r="114" spans="1:26" ht="19.5">
      <c r="A114" s="982"/>
      <c r="B114" s="983"/>
      <c r="C114" s="983"/>
      <c r="D114" s="983"/>
      <c r="E114" s="989" t="s">
        <v>61</v>
      </c>
      <c r="F114" s="990"/>
      <c r="G114" s="991"/>
      <c r="H114" s="199" t="s">
        <v>35</v>
      </c>
      <c r="I114" s="977">
        <f ca="1">IFERROR(__xludf.DUMMYFUNCTION("IMPORTRANGE(""https://docs.google.com/spreadsheets/d/1QqKyyYR6Q21VydFLVH3TRQUabQu_ym0Zz7PgGX0-kHA/edit?usp=sharing"",""แผน!R51"")"),15)</f>
        <v>15</v>
      </c>
      <c r="J114" s="992">
        <v>0</v>
      </c>
      <c r="K114" s="864">
        <f t="shared" ca="1" si="58"/>
        <v>0</v>
      </c>
      <c r="L114" s="864"/>
      <c r="M114" s="864"/>
      <c r="N114" s="864"/>
      <c r="O114" s="978"/>
      <c r="P114" s="978"/>
    </row>
    <row r="115" spans="1:26" ht="18.75">
      <c r="A115" s="982"/>
      <c r="B115" s="983"/>
      <c r="C115" s="983"/>
      <c r="D115" s="983"/>
      <c r="E115" s="989" t="s">
        <v>62</v>
      </c>
      <c r="F115" s="990"/>
      <c r="G115" s="991"/>
      <c r="H115" s="199" t="s">
        <v>49</v>
      </c>
      <c r="I115" s="977">
        <f ca="1">IFERROR(__xludf.DUMMYFUNCTION("IMPORTRANGE(""https://docs.google.com/spreadsheets/d/1QqKyyYR6Q21VydFLVH3TRQUabQu_ym0Zz7PgGX0-kHA/edit?usp=sharing"",""แผน!S51"")"),1)</f>
        <v>1</v>
      </c>
      <c r="J115" s="992">
        <v>0</v>
      </c>
      <c r="K115" s="864">
        <f t="shared" ca="1" si="58"/>
        <v>0</v>
      </c>
      <c r="L115" s="864"/>
      <c r="M115" s="864"/>
      <c r="N115" s="864"/>
      <c r="O115" s="978"/>
      <c r="P115" s="978"/>
    </row>
    <row r="116" spans="1:26" ht="18.75">
      <c r="A116" s="982"/>
      <c r="B116" s="983"/>
      <c r="C116" s="983"/>
      <c r="D116" s="983"/>
      <c r="E116" s="989" t="s">
        <v>63</v>
      </c>
      <c r="F116" s="990"/>
      <c r="G116" s="991"/>
      <c r="H116" s="199" t="s">
        <v>49</v>
      </c>
      <c r="I116" s="977">
        <f ca="1">IFERROR(__xludf.DUMMYFUNCTION("IMPORTRANGE(""https://docs.google.com/spreadsheets/d/1QqKyyYR6Q21VydFLVH3TRQUabQu_ym0Zz7PgGX0-kHA/edit?usp=sharing"",""แผน!T51"")"),1)</f>
        <v>1</v>
      </c>
      <c r="J116" s="992">
        <v>0</v>
      </c>
      <c r="K116" s="864">
        <f t="shared" ca="1" si="58"/>
        <v>0</v>
      </c>
      <c r="L116" s="864"/>
      <c r="M116" s="864"/>
      <c r="N116" s="864"/>
      <c r="O116" s="978"/>
      <c r="P116" s="978"/>
    </row>
    <row r="117" spans="1:26" ht="19.5" hidden="1">
      <c r="A117" s="950" t="s">
        <v>64</v>
      </c>
      <c r="B117" s="951"/>
      <c r="C117" s="1002"/>
      <c r="D117" s="951"/>
      <c r="E117" s="951"/>
      <c r="F117" s="951"/>
      <c r="G117" s="951"/>
      <c r="H117" s="1003"/>
      <c r="I117" s="1004"/>
      <c r="J117" s="1004"/>
      <c r="K117" s="1005"/>
      <c r="L117" s="956"/>
      <c r="M117" s="956"/>
      <c r="N117" s="956"/>
      <c r="O117" s="956"/>
      <c r="P117" s="956"/>
    </row>
    <row r="118" spans="1:26" ht="19.5" hidden="1">
      <c r="A118" s="957"/>
      <c r="B118" s="958" t="s">
        <v>65</v>
      </c>
      <c r="C118" s="1006"/>
      <c r="D118" s="960"/>
      <c r="E118" s="959"/>
      <c r="F118" s="959"/>
      <c r="G118" s="961"/>
      <c r="H118" s="205"/>
      <c r="I118" s="1007"/>
      <c r="J118" s="1007"/>
      <c r="K118" s="964"/>
      <c r="L118" s="964"/>
      <c r="M118" s="964"/>
      <c r="N118" s="964"/>
      <c r="O118" s="964"/>
      <c r="P118" s="964"/>
    </row>
    <row r="119" spans="1:26" ht="19.5" hidden="1">
      <c r="A119" s="965"/>
      <c r="B119" s="966"/>
      <c r="C119" s="967" t="s">
        <v>16</v>
      </c>
      <c r="D119" s="968" t="s">
        <v>17</v>
      </c>
      <c r="E119" s="966"/>
      <c r="F119" s="966"/>
      <c r="G119" s="969"/>
      <c r="H119" s="152" t="s">
        <v>12</v>
      </c>
      <c r="I119" s="970"/>
      <c r="J119" s="970"/>
      <c r="K119" s="971"/>
      <c r="L119" s="972">
        <f t="shared" ref="L119:N119" ca="1" si="60">L120+L121</f>
        <v>0</v>
      </c>
      <c r="M119" s="972">
        <f t="shared" ca="1" si="60"/>
        <v>0</v>
      </c>
      <c r="N119" s="972">
        <f t="shared" ca="1" si="60"/>
        <v>0</v>
      </c>
      <c r="O119" s="972">
        <f t="shared" ref="O119:O127" ca="1" si="61">IF(L119&gt;0,N119*100/L119,0)</f>
        <v>0</v>
      </c>
      <c r="P119" s="972">
        <f t="shared" ref="P119:P127" ca="1" si="62">IF(M119&gt;0,N119*100/M119,0)</f>
        <v>0</v>
      </c>
      <c r="Q119" s="851"/>
      <c r="R119" s="851"/>
      <c r="S119" s="851"/>
      <c r="T119" s="851"/>
      <c r="U119" s="851"/>
      <c r="V119" s="851"/>
      <c r="W119" s="851"/>
      <c r="X119" s="851"/>
      <c r="Y119" s="851"/>
      <c r="Z119" s="851"/>
    </row>
    <row r="120" spans="1:26" ht="18.75" hidden="1">
      <c r="A120" s="973"/>
      <c r="B120" s="866"/>
      <c r="C120" s="866"/>
      <c r="D120" s="866"/>
      <c r="E120" s="867" t="s">
        <v>18</v>
      </c>
      <c r="F120" s="866"/>
      <c r="G120" s="974"/>
      <c r="H120" s="158" t="s">
        <v>12</v>
      </c>
      <c r="I120" s="869"/>
      <c r="J120" s="869"/>
      <c r="K120" s="870"/>
      <c r="L120" s="870">
        <f t="shared" ref="L120:N121" si="63">L123+L126</f>
        <v>0</v>
      </c>
      <c r="M120" s="870">
        <f t="shared" si="63"/>
        <v>0</v>
      </c>
      <c r="N120" s="870">
        <f t="shared" si="63"/>
        <v>0</v>
      </c>
      <c r="O120" s="870">
        <f t="shared" si="61"/>
        <v>0</v>
      </c>
      <c r="P120" s="870">
        <f t="shared" si="62"/>
        <v>0</v>
      </c>
      <c r="Q120" s="858"/>
      <c r="R120" s="858"/>
      <c r="S120" s="858"/>
      <c r="T120" s="858"/>
      <c r="U120" s="858"/>
      <c r="V120" s="858"/>
      <c r="W120" s="858"/>
      <c r="X120" s="858"/>
      <c r="Y120" s="858"/>
      <c r="Z120" s="858"/>
    </row>
    <row r="121" spans="1:26" ht="18.75" hidden="1">
      <c r="A121" s="973"/>
      <c r="B121" s="866"/>
      <c r="C121" s="866"/>
      <c r="D121" s="866"/>
      <c r="E121" s="867" t="s">
        <v>19</v>
      </c>
      <c r="F121" s="866"/>
      <c r="G121" s="974"/>
      <c r="H121" s="158" t="s">
        <v>12</v>
      </c>
      <c r="I121" s="869"/>
      <c r="J121" s="869"/>
      <c r="K121" s="870"/>
      <c r="L121" s="870">
        <f t="shared" ca="1" si="63"/>
        <v>0</v>
      </c>
      <c r="M121" s="870">
        <f t="shared" ca="1" si="63"/>
        <v>0</v>
      </c>
      <c r="N121" s="870">
        <f t="shared" ca="1" si="63"/>
        <v>0</v>
      </c>
      <c r="O121" s="870">
        <f t="shared" ca="1" si="61"/>
        <v>0</v>
      </c>
      <c r="P121" s="870">
        <f t="shared" ca="1" si="62"/>
        <v>0</v>
      </c>
      <c r="Q121" s="858"/>
      <c r="R121" s="858"/>
      <c r="S121" s="858"/>
      <c r="T121" s="858"/>
      <c r="U121" s="858"/>
      <c r="V121" s="858"/>
      <c r="W121" s="858"/>
      <c r="X121" s="858"/>
      <c r="Y121" s="858"/>
      <c r="Z121" s="858"/>
    </row>
    <row r="122" spans="1:26" ht="18.75" hidden="1">
      <c r="A122" s="975"/>
      <c r="B122" s="860"/>
      <c r="C122" s="976"/>
      <c r="D122" s="861" t="s">
        <v>20</v>
      </c>
      <c r="E122" s="860"/>
      <c r="F122" s="860"/>
      <c r="G122" s="862"/>
      <c r="H122" s="161" t="s">
        <v>12</v>
      </c>
      <c r="I122" s="977"/>
      <c r="J122" s="977"/>
      <c r="K122" s="978"/>
      <c r="L122" s="864">
        <f t="shared" ref="L122:N122" ca="1" si="64">L123+L124</f>
        <v>0</v>
      </c>
      <c r="M122" s="864">
        <f t="shared" ca="1" si="64"/>
        <v>0</v>
      </c>
      <c r="N122" s="864">
        <f t="shared" ca="1" si="64"/>
        <v>0</v>
      </c>
      <c r="O122" s="864">
        <f t="shared" ca="1" si="61"/>
        <v>0</v>
      </c>
      <c r="P122" s="864">
        <f t="shared" ca="1" si="62"/>
        <v>0</v>
      </c>
      <c r="Q122" s="851"/>
      <c r="R122" s="851"/>
      <c r="S122" s="851"/>
      <c r="T122" s="851"/>
      <c r="U122" s="851"/>
      <c r="V122" s="851"/>
      <c r="W122" s="851"/>
      <c r="X122" s="851"/>
      <c r="Y122" s="851"/>
      <c r="Z122" s="851"/>
    </row>
    <row r="123" spans="1:26" ht="18.75" hidden="1">
      <c r="A123" s="973"/>
      <c r="B123" s="866"/>
      <c r="C123" s="867"/>
      <c r="D123" s="866"/>
      <c r="E123" s="867" t="s">
        <v>36</v>
      </c>
      <c r="F123" s="866"/>
      <c r="G123" s="974"/>
      <c r="H123" s="165" t="s">
        <v>12</v>
      </c>
      <c r="I123" s="980"/>
      <c r="J123" s="980"/>
      <c r="K123" s="981"/>
      <c r="L123" s="870">
        <v>0</v>
      </c>
      <c r="M123" s="870">
        <v>0</v>
      </c>
      <c r="N123" s="870">
        <v>0</v>
      </c>
      <c r="O123" s="870">
        <f t="shared" si="61"/>
        <v>0</v>
      </c>
      <c r="P123" s="870">
        <f t="shared" si="62"/>
        <v>0</v>
      </c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</row>
    <row r="124" spans="1:26" ht="18.75" hidden="1">
      <c r="A124" s="973"/>
      <c r="B124" s="866"/>
      <c r="C124" s="867"/>
      <c r="D124" s="866"/>
      <c r="E124" s="867" t="s">
        <v>37</v>
      </c>
      <c r="F124" s="866"/>
      <c r="G124" s="974"/>
      <c r="H124" s="165" t="s">
        <v>12</v>
      </c>
      <c r="I124" s="980"/>
      <c r="J124" s="980"/>
      <c r="K124" s="981"/>
      <c r="L124" s="870">
        <f ca="1">IFERROR(__xludf.DUMMYFUNCTION("IMPORTRANGE(""https://docs.google.com/spreadsheets/d/1MeEWN-I1oV_STSDYn1IFDPWt_1FKiwhDph83XaGc0o0/edit?usp=sharing"",""งบพรบ!BA51"")"),0)</f>
        <v>0</v>
      </c>
      <c r="M124" s="870">
        <f ca="1">IFERROR(__xludf.DUMMYFUNCTION("IMPORTRANGE(""https://docs.google.com/spreadsheets/d/1MeEWN-I1oV_STSDYn1IFDPWt_1FKiwhDph83XaGc0o0/edit?usp=sharing"",""งบพรบ!BF51"")"),0)</f>
        <v>0</v>
      </c>
      <c r="N124" s="870">
        <f ca="1">IFERROR(__xludf.DUMMYFUNCTION("IMPORTRANGE(""https://docs.google.com/spreadsheets/d/1MeEWN-I1oV_STSDYn1IFDPWt_1FKiwhDph83XaGc0o0/edit?usp=sharing"",""งบพรบ!BH51"")"),0)</f>
        <v>0</v>
      </c>
      <c r="O124" s="870">
        <f t="shared" ca="1" si="61"/>
        <v>0</v>
      </c>
      <c r="P124" s="870">
        <f t="shared" ca="1" si="62"/>
        <v>0</v>
      </c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</row>
    <row r="125" spans="1:26" ht="18.75" hidden="1">
      <c r="A125" s="975"/>
      <c r="B125" s="860"/>
      <c r="C125" s="976"/>
      <c r="D125" s="861" t="s">
        <v>21</v>
      </c>
      <c r="E125" s="860"/>
      <c r="F125" s="860"/>
      <c r="G125" s="862"/>
      <c r="H125" s="168" t="s">
        <v>12</v>
      </c>
      <c r="I125" s="977"/>
      <c r="J125" s="977"/>
      <c r="K125" s="978"/>
      <c r="L125" s="864">
        <f t="shared" ref="L125:N125" ca="1" si="65">L126+L127</f>
        <v>0</v>
      </c>
      <c r="M125" s="864">
        <f t="shared" ca="1" si="65"/>
        <v>0</v>
      </c>
      <c r="N125" s="864">
        <f t="shared" ca="1" si="65"/>
        <v>0</v>
      </c>
      <c r="O125" s="864">
        <f t="shared" ca="1" si="61"/>
        <v>0</v>
      </c>
      <c r="P125" s="864">
        <f t="shared" ca="1" si="62"/>
        <v>0</v>
      </c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</row>
    <row r="126" spans="1:26" ht="19.5" hidden="1">
      <c r="A126" s="973"/>
      <c r="B126" s="866"/>
      <c r="C126" s="979"/>
      <c r="D126" s="866"/>
      <c r="E126" s="867" t="s">
        <v>18</v>
      </c>
      <c r="F126" s="866"/>
      <c r="G126" s="974"/>
      <c r="H126" s="165" t="s">
        <v>12</v>
      </c>
      <c r="I126" s="980"/>
      <c r="J126" s="980"/>
      <c r="K126" s="981"/>
      <c r="L126" s="870">
        <v>0</v>
      </c>
      <c r="M126" s="870">
        <v>0</v>
      </c>
      <c r="N126" s="870">
        <v>0</v>
      </c>
      <c r="O126" s="870">
        <f t="shared" si="61"/>
        <v>0</v>
      </c>
      <c r="P126" s="870">
        <f t="shared" si="62"/>
        <v>0</v>
      </c>
      <c r="Q126" s="858"/>
      <c r="R126" s="858"/>
      <c r="S126" s="858"/>
      <c r="T126" s="858"/>
      <c r="U126" s="858"/>
      <c r="V126" s="858"/>
      <c r="W126" s="858"/>
      <c r="X126" s="858"/>
      <c r="Y126" s="858"/>
      <c r="Z126" s="858"/>
    </row>
    <row r="127" spans="1:26" ht="19.5" hidden="1">
      <c r="A127" s="973"/>
      <c r="B127" s="866"/>
      <c r="C127" s="979"/>
      <c r="D127" s="866"/>
      <c r="E127" s="867" t="s">
        <v>19</v>
      </c>
      <c r="F127" s="866"/>
      <c r="G127" s="974"/>
      <c r="H127" s="169" t="s">
        <v>12</v>
      </c>
      <c r="I127" s="980"/>
      <c r="J127" s="980"/>
      <c r="K127" s="981"/>
      <c r="L127" s="870">
        <f ca="1">IFERROR(__xludf.DUMMYFUNCTION("IMPORTRANGE(""https://docs.google.com/spreadsheets/d/1MeEWN-I1oV_STSDYn1IFDPWt_1FKiwhDph83XaGc0o0/edit?usp=sharing"",""งบพรบ!BD51"")"),0)</f>
        <v>0</v>
      </c>
      <c r="M127" s="870">
        <f ca="1">IFERROR(__xludf.DUMMYFUNCTION("IMPORTRANGE(""https://docs.google.com/spreadsheets/d/1MeEWN-I1oV_STSDYn1IFDPWt_1FKiwhDph83XaGc0o0/edit?usp=sharing"",""งบพรบ!BG51"")"),0)</f>
        <v>0</v>
      </c>
      <c r="N127" s="870">
        <f ca="1">IFERROR(__xludf.DUMMYFUNCTION("IMPORTRANGE(""https://docs.google.com/spreadsheets/d/1MeEWN-I1oV_STSDYn1IFDPWt_1FKiwhDph83XaGc0o0/edit?usp=sharing"",""งบพรบ!BI51"")"),0)</f>
        <v>0</v>
      </c>
      <c r="O127" s="870">
        <f t="shared" ca="1" si="61"/>
        <v>0</v>
      </c>
      <c r="P127" s="870">
        <f t="shared" ca="1" si="62"/>
        <v>0</v>
      </c>
      <c r="Q127" s="858"/>
      <c r="R127" s="858"/>
      <c r="S127" s="858"/>
      <c r="T127" s="858"/>
      <c r="U127" s="858"/>
      <c r="V127" s="858"/>
      <c r="W127" s="858"/>
      <c r="X127" s="858"/>
      <c r="Y127" s="858"/>
      <c r="Z127" s="858"/>
    </row>
    <row r="128" spans="1:26" ht="19.5" hidden="1">
      <c r="A128" s="950" t="s">
        <v>67</v>
      </c>
      <c r="B128" s="951"/>
      <c r="C128" s="1002"/>
      <c r="D128" s="951"/>
      <c r="E128" s="951"/>
      <c r="F128" s="951"/>
      <c r="G128" s="951"/>
      <c r="H128" s="1003"/>
      <c r="I128" s="1004"/>
      <c r="J128" s="1004"/>
      <c r="K128" s="1005"/>
      <c r="L128" s="956"/>
      <c r="M128" s="956"/>
      <c r="N128" s="956"/>
      <c r="O128" s="956"/>
      <c r="P128" s="956"/>
    </row>
    <row r="129" spans="1:26" ht="19.5" hidden="1">
      <c r="A129" s="957"/>
      <c r="B129" s="958" t="s">
        <v>68</v>
      </c>
      <c r="C129" s="1006"/>
      <c r="D129" s="960"/>
      <c r="E129" s="959"/>
      <c r="F129" s="959"/>
      <c r="G129" s="959"/>
      <c r="H129" s="207"/>
      <c r="I129" s="1007"/>
      <c r="J129" s="1007"/>
      <c r="K129" s="964"/>
      <c r="L129" s="964"/>
      <c r="M129" s="964"/>
      <c r="N129" s="964"/>
      <c r="O129" s="964"/>
      <c r="P129" s="964"/>
    </row>
    <row r="130" spans="1:26" ht="19.5" hidden="1">
      <c r="A130" s="957"/>
      <c r="B130" s="958"/>
      <c r="C130" s="1008" t="s">
        <v>69</v>
      </c>
      <c r="D130" s="960"/>
      <c r="E130" s="959"/>
      <c r="F130" s="959"/>
      <c r="G130" s="961"/>
      <c r="H130" s="205" t="s">
        <v>66</v>
      </c>
      <c r="I130" s="962">
        <f t="shared" ref="I130:J130" ca="1" si="66">I146</f>
        <v>0</v>
      </c>
      <c r="J130" s="962">
        <f t="shared" si="66"/>
        <v>0</v>
      </c>
      <c r="K130" s="963">
        <f t="shared" ref="K130:K131" ca="1" si="67">IF(I130&gt;0,J130*100/I130,0)</f>
        <v>0</v>
      </c>
      <c r="L130" s="964"/>
      <c r="M130" s="964"/>
      <c r="N130" s="964"/>
      <c r="O130" s="964"/>
      <c r="P130" s="964"/>
    </row>
    <row r="131" spans="1:26" ht="19.5" hidden="1">
      <c r="A131" s="957"/>
      <c r="B131" s="958"/>
      <c r="C131" s="1008" t="s">
        <v>70</v>
      </c>
      <c r="D131" s="960"/>
      <c r="E131" s="959"/>
      <c r="F131" s="959"/>
      <c r="G131" s="961"/>
      <c r="H131" s="205" t="s">
        <v>35</v>
      </c>
      <c r="I131" s="962">
        <f t="shared" ref="I131:J131" ca="1" si="68">I143</f>
        <v>0</v>
      </c>
      <c r="J131" s="962">
        <f t="shared" ca="1" si="68"/>
        <v>0</v>
      </c>
      <c r="K131" s="963">
        <f t="shared" ca="1" si="67"/>
        <v>0</v>
      </c>
      <c r="L131" s="964"/>
      <c r="M131" s="964"/>
      <c r="N131" s="964"/>
      <c r="O131" s="964"/>
      <c r="P131" s="964"/>
    </row>
    <row r="132" spans="1:26" ht="19.5" hidden="1">
      <c r="A132" s="965"/>
      <c r="B132" s="966"/>
      <c r="C132" s="967" t="s">
        <v>16</v>
      </c>
      <c r="D132" s="968" t="s">
        <v>17</v>
      </c>
      <c r="E132" s="966"/>
      <c r="F132" s="966"/>
      <c r="G132" s="969"/>
      <c r="H132" s="152" t="s">
        <v>12</v>
      </c>
      <c r="I132" s="970"/>
      <c r="J132" s="970"/>
      <c r="K132" s="971"/>
      <c r="L132" s="972">
        <f t="shared" ref="L132:N132" ca="1" si="69">L133+L134</f>
        <v>0</v>
      </c>
      <c r="M132" s="972">
        <f t="shared" ca="1" si="69"/>
        <v>0</v>
      </c>
      <c r="N132" s="972">
        <f t="shared" ca="1" si="69"/>
        <v>0</v>
      </c>
      <c r="O132" s="972">
        <f t="shared" ref="O132:O140" ca="1" si="70">IF(L132&gt;0,N132*100/L132,0)</f>
        <v>0</v>
      </c>
      <c r="P132" s="972">
        <f t="shared" ref="P132:P140" ca="1" si="71">IF(M132&gt;0,N132*100/M132,0)</f>
        <v>0</v>
      </c>
      <c r="Q132" s="851"/>
      <c r="R132" s="851"/>
      <c r="S132" s="851"/>
      <c r="T132" s="851"/>
      <c r="U132" s="851"/>
      <c r="V132" s="851"/>
      <c r="W132" s="851"/>
      <c r="X132" s="851"/>
      <c r="Y132" s="851"/>
      <c r="Z132" s="851"/>
    </row>
    <row r="133" spans="1:26" ht="18.75" hidden="1">
      <c r="A133" s="973"/>
      <c r="B133" s="866"/>
      <c r="C133" s="866"/>
      <c r="D133" s="866"/>
      <c r="E133" s="867" t="s">
        <v>18</v>
      </c>
      <c r="F133" s="866"/>
      <c r="G133" s="974"/>
      <c r="H133" s="158" t="s">
        <v>12</v>
      </c>
      <c r="I133" s="869"/>
      <c r="J133" s="869"/>
      <c r="K133" s="870"/>
      <c r="L133" s="870">
        <f t="shared" ref="L133:N134" si="72">L136+L139</f>
        <v>0</v>
      </c>
      <c r="M133" s="870">
        <f t="shared" si="72"/>
        <v>0</v>
      </c>
      <c r="N133" s="870">
        <f t="shared" si="72"/>
        <v>0</v>
      </c>
      <c r="O133" s="870">
        <f t="shared" si="70"/>
        <v>0</v>
      </c>
      <c r="P133" s="870">
        <f t="shared" si="71"/>
        <v>0</v>
      </c>
      <c r="Q133" s="858"/>
      <c r="R133" s="858"/>
      <c r="S133" s="858"/>
      <c r="T133" s="858"/>
      <c r="U133" s="858"/>
      <c r="V133" s="858"/>
      <c r="W133" s="858"/>
      <c r="X133" s="858"/>
      <c r="Y133" s="858"/>
      <c r="Z133" s="858"/>
    </row>
    <row r="134" spans="1:26" ht="18.75" hidden="1">
      <c r="A134" s="973"/>
      <c r="B134" s="866"/>
      <c r="C134" s="866"/>
      <c r="D134" s="866"/>
      <c r="E134" s="867" t="s">
        <v>19</v>
      </c>
      <c r="F134" s="866"/>
      <c r="G134" s="974"/>
      <c r="H134" s="158" t="s">
        <v>12</v>
      </c>
      <c r="I134" s="869"/>
      <c r="J134" s="869"/>
      <c r="K134" s="870"/>
      <c r="L134" s="870">
        <f t="shared" ca="1" si="72"/>
        <v>0</v>
      </c>
      <c r="M134" s="870">
        <f t="shared" ca="1" si="72"/>
        <v>0</v>
      </c>
      <c r="N134" s="870">
        <f t="shared" ca="1" si="72"/>
        <v>0</v>
      </c>
      <c r="O134" s="870">
        <f t="shared" ca="1" si="70"/>
        <v>0</v>
      </c>
      <c r="P134" s="870">
        <f t="shared" ca="1" si="71"/>
        <v>0</v>
      </c>
      <c r="Q134" s="858"/>
      <c r="R134" s="858"/>
      <c r="S134" s="858"/>
      <c r="T134" s="858"/>
      <c r="U134" s="858"/>
      <c r="V134" s="858"/>
      <c r="W134" s="858"/>
      <c r="X134" s="858"/>
      <c r="Y134" s="858"/>
      <c r="Z134" s="858"/>
    </row>
    <row r="135" spans="1:26" ht="18.75" hidden="1">
      <c r="A135" s="975"/>
      <c r="B135" s="860"/>
      <c r="C135" s="976"/>
      <c r="D135" s="861" t="s">
        <v>20</v>
      </c>
      <c r="E135" s="860"/>
      <c r="F135" s="860"/>
      <c r="G135" s="862"/>
      <c r="H135" s="161" t="s">
        <v>12</v>
      </c>
      <c r="I135" s="977"/>
      <c r="J135" s="977"/>
      <c r="K135" s="978"/>
      <c r="L135" s="864">
        <f t="shared" ref="L135:N135" ca="1" si="73">L136+L137</f>
        <v>0</v>
      </c>
      <c r="M135" s="864">
        <f t="shared" ca="1" si="73"/>
        <v>0</v>
      </c>
      <c r="N135" s="864">
        <f t="shared" ca="1" si="73"/>
        <v>0</v>
      </c>
      <c r="O135" s="864">
        <f t="shared" ca="1" si="70"/>
        <v>0</v>
      </c>
      <c r="P135" s="864">
        <f t="shared" ca="1" si="71"/>
        <v>0</v>
      </c>
      <c r="Q135" s="851"/>
      <c r="R135" s="851"/>
      <c r="S135" s="851"/>
      <c r="T135" s="851"/>
      <c r="U135" s="851"/>
      <c r="V135" s="851"/>
      <c r="W135" s="851"/>
      <c r="X135" s="851"/>
      <c r="Y135" s="851"/>
      <c r="Z135" s="851"/>
    </row>
    <row r="136" spans="1:26" ht="19.5" hidden="1">
      <c r="A136" s="973"/>
      <c r="B136" s="866"/>
      <c r="C136" s="979"/>
      <c r="D136" s="866"/>
      <c r="E136" s="867" t="s">
        <v>36</v>
      </c>
      <c r="F136" s="866"/>
      <c r="G136" s="974"/>
      <c r="H136" s="165" t="s">
        <v>12</v>
      </c>
      <c r="I136" s="980"/>
      <c r="J136" s="980"/>
      <c r="K136" s="981"/>
      <c r="L136" s="870">
        <v>0</v>
      </c>
      <c r="M136" s="870">
        <v>0</v>
      </c>
      <c r="N136" s="870">
        <v>0</v>
      </c>
      <c r="O136" s="870">
        <f t="shared" si="70"/>
        <v>0</v>
      </c>
      <c r="P136" s="870">
        <f t="shared" si="71"/>
        <v>0</v>
      </c>
      <c r="Q136" s="858"/>
      <c r="R136" s="858"/>
      <c r="S136" s="858"/>
      <c r="T136" s="858"/>
      <c r="U136" s="858"/>
      <c r="V136" s="858"/>
      <c r="W136" s="858"/>
      <c r="X136" s="858"/>
      <c r="Y136" s="858"/>
      <c r="Z136" s="858"/>
    </row>
    <row r="137" spans="1:26" ht="19.5" hidden="1">
      <c r="A137" s="973"/>
      <c r="B137" s="866"/>
      <c r="C137" s="979"/>
      <c r="D137" s="866"/>
      <c r="E137" s="867" t="s">
        <v>37</v>
      </c>
      <c r="F137" s="866"/>
      <c r="G137" s="974"/>
      <c r="H137" s="165" t="s">
        <v>12</v>
      </c>
      <c r="I137" s="980"/>
      <c r="J137" s="980"/>
      <c r="K137" s="981"/>
      <c r="L137" s="870">
        <f ca="1">IFERROR(__xludf.DUMMYFUNCTION("IMPORTRANGE(""https://docs.google.com/spreadsheets/d/1MeEWN-I1oV_STSDYn1IFDPWt_1FKiwhDph83XaGc0o0/edit?usp=sharing"",""งบพรบ!BK51"")"),0)</f>
        <v>0</v>
      </c>
      <c r="M137" s="870">
        <f ca="1">IFERROR(__xludf.DUMMYFUNCTION("IMPORTRANGE(""https://docs.google.com/spreadsheets/d/1MeEWN-I1oV_STSDYn1IFDPWt_1FKiwhDph83XaGc0o0/edit?usp=sharing"",""งบพรบ!BP51"")"),0)</f>
        <v>0</v>
      </c>
      <c r="N137" s="870">
        <f ca="1">IFERROR(__xludf.DUMMYFUNCTION("IMPORTRANGE(""https://docs.google.com/spreadsheets/d/1MeEWN-I1oV_STSDYn1IFDPWt_1FKiwhDph83XaGc0o0/edit?usp=sharing"",""งบพรบ!BR51"")"),0)</f>
        <v>0</v>
      </c>
      <c r="O137" s="870">
        <f t="shared" ca="1" si="70"/>
        <v>0</v>
      </c>
      <c r="P137" s="870">
        <f t="shared" ca="1" si="71"/>
        <v>0</v>
      </c>
      <c r="Q137" s="858"/>
      <c r="R137" s="858"/>
      <c r="S137" s="858"/>
      <c r="T137" s="858"/>
      <c r="U137" s="858"/>
      <c r="V137" s="858"/>
      <c r="W137" s="858"/>
      <c r="X137" s="858"/>
      <c r="Y137" s="858"/>
      <c r="Z137" s="858"/>
    </row>
    <row r="138" spans="1:26" ht="18.75" hidden="1">
      <c r="A138" s="975"/>
      <c r="B138" s="860"/>
      <c r="C138" s="976"/>
      <c r="D138" s="861" t="s">
        <v>21</v>
      </c>
      <c r="E138" s="860"/>
      <c r="F138" s="860"/>
      <c r="G138" s="862"/>
      <c r="H138" s="168" t="s">
        <v>12</v>
      </c>
      <c r="I138" s="977"/>
      <c r="J138" s="977"/>
      <c r="K138" s="978"/>
      <c r="L138" s="864">
        <f t="shared" ref="L138:N138" ca="1" si="74">L139+L140</f>
        <v>0</v>
      </c>
      <c r="M138" s="864">
        <f t="shared" ca="1" si="74"/>
        <v>0</v>
      </c>
      <c r="N138" s="864">
        <f t="shared" ca="1" si="74"/>
        <v>0</v>
      </c>
      <c r="O138" s="864">
        <f t="shared" ca="1" si="70"/>
        <v>0</v>
      </c>
      <c r="P138" s="864">
        <f t="shared" ca="1" si="71"/>
        <v>0</v>
      </c>
      <c r="Q138" s="851"/>
      <c r="R138" s="851"/>
      <c r="S138" s="851"/>
      <c r="T138" s="851"/>
      <c r="U138" s="851"/>
      <c r="V138" s="851"/>
      <c r="W138" s="851"/>
      <c r="X138" s="851"/>
      <c r="Y138" s="851"/>
      <c r="Z138" s="851"/>
    </row>
    <row r="139" spans="1:26" ht="19.5" hidden="1">
      <c r="A139" s="973"/>
      <c r="B139" s="866"/>
      <c r="C139" s="979"/>
      <c r="D139" s="866"/>
      <c r="E139" s="867" t="s">
        <v>18</v>
      </c>
      <c r="F139" s="866"/>
      <c r="G139" s="974"/>
      <c r="H139" s="165" t="s">
        <v>12</v>
      </c>
      <c r="I139" s="980"/>
      <c r="J139" s="980"/>
      <c r="K139" s="981"/>
      <c r="L139" s="870">
        <v>0</v>
      </c>
      <c r="M139" s="870">
        <v>0</v>
      </c>
      <c r="N139" s="870">
        <v>0</v>
      </c>
      <c r="O139" s="870">
        <f t="shared" si="70"/>
        <v>0</v>
      </c>
      <c r="P139" s="870">
        <f t="shared" si="71"/>
        <v>0</v>
      </c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</row>
    <row r="140" spans="1:26" ht="19.5" hidden="1">
      <c r="A140" s="973"/>
      <c r="B140" s="866"/>
      <c r="C140" s="979"/>
      <c r="D140" s="866"/>
      <c r="E140" s="867" t="s">
        <v>19</v>
      </c>
      <c r="F140" s="866"/>
      <c r="G140" s="974"/>
      <c r="H140" s="169" t="s">
        <v>12</v>
      </c>
      <c r="I140" s="980"/>
      <c r="J140" s="980"/>
      <c r="K140" s="981"/>
      <c r="L140" s="870">
        <f ca="1">IFERROR(__xludf.DUMMYFUNCTION("IMPORTRANGE(""https://docs.google.com/spreadsheets/d/1MeEWN-I1oV_STSDYn1IFDPWt_1FKiwhDph83XaGc0o0/edit?usp=sharing"",""งบพรบ!BN51"")"),0)</f>
        <v>0</v>
      </c>
      <c r="M140" s="870">
        <f ca="1">IFERROR(__xludf.DUMMYFUNCTION("IMPORTRANGE(""https://docs.google.com/spreadsheets/d/1MeEWN-I1oV_STSDYn1IFDPWt_1FKiwhDph83XaGc0o0/edit?usp=sharing"",""งบพรบ!BQ51"")"),0)</f>
        <v>0</v>
      </c>
      <c r="N140" s="870">
        <f ca="1">IFERROR(__xludf.DUMMYFUNCTION("IMPORTRANGE(""https://docs.google.com/spreadsheets/d/1MeEWN-I1oV_STSDYn1IFDPWt_1FKiwhDph83XaGc0o0/edit?usp=sharing"",""งบพรบ!BS51"")"),0)</f>
        <v>0</v>
      </c>
      <c r="O140" s="870">
        <f t="shared" ca="1" si="70"/>
        <v>0</v>
      </c>
      <c r="P140" s="870">
        <f t="shared" ca="1" si="71"/>
        <v>0</v>
      </c>
      <c r="Q140" s="858"/>
      <c r="R140" s="858"/>
      <c r="S140" s="858"/>
      <c r="T140" s="858"/>
      <c r="U140" s="858"/>
      <c r="V140" s="858"/>
      <c r="W140" s="858"/>
      <c r="X140" s="858"/>
      <c r="Y140" s="858"/>
      <c r="Z140" s="858"/>
    </row>
    <row r="141" spans="1:26" ht="19.5" hidden="1">
      <c r="A141" s="982"/>
      <c r="B141" s="983"/>
      <c r="C141" s="967" t="s">
        <v>16</v>
      </c>
      <c r="D141" s="984" t="s">
        <v>38</v>
      </c>
      <c r="E141" s="985"/>
      <c r="F141" s="985"/>
      <c r="G141" s="986"/>
      <c r="H141" s="168"/>
      <c r="I141" s="863"/>
      <c r="J141" s="863"/>
      <c r="K141" s="864"/>
      <c r="L141" s="864"/>
      <c r="M141" s="864"/>
      <c r="N141" s="864"/>
      <c r="O141" s="864"/>
      <c r="P141" s="864"/>
    </row>
    <row r="142" spans="1:26" ht="19.5" hidden="1">
      <c r="A142" s="975"/>
      <c r="B142" s="860"/>
      <c r="C142" s="1009"/>
      <c r="D142" s="976" t="s">
        <v>71</v>
      </c>
      <c r="E142" s="861"/>
      <c r="F142" s="860"/>
      <c r="G142" s="1010"/>
      <c r="H142" s="168"/>
      <c r="I142" s="863"/>
      <c r="J142" s="992">
        <v>0</v>
      </c>
      <c r="K142" s="864"/>
      <c r="L142" s="864"/>
      <c r="M142" s="864"/>
      <c r="N142" s="864"/>
      <c r="O142" s="864"/>
      <c r="P142" s="864"/>
    </row>
    <row r="143" spans="1:26" ht="19.5" hidden="1">
      <c r="A143" s="975"/>
      <c r="B143" s="860"/>
      <c r="C143" s="1009"/>
      <c r="D143" s="976" t="s">
        <v>72</v>
      </c>
      <c r="E143" s="861"/>
      <c r="F143" s="860"/>
      <c r="G143" s="1010"/>
      <c r="H143" s="168" t="s">
        <v>35</v>
      </c>
      <c r="I143" s="863">
        <f ca="1">I145</f>
        <v>0</v>
      </c>
      <c r="J143" s="863">
        <f ca="1">IF(AND(J144&gt;=I144,J145&gt;=I145),J145,0)</f>
        <v>0</v>
      </c>
      <c r="K143" s="864">
        <f t="shared" ref="K143:K146" ca="1" si="75">IF(I143&gt;0,J143*100/I143,0)</f>
        <v>0</v>
      </c>
      <c r="L143" s="864"/>
      <c r="M143" s="864"/>
      <c r="N143" s="864"/>
      <c r="O143" s="864"/>
      <c r="P143" s="864"/>
    </row>
    <row r="144" spans="1:26" ht="19.5" hidden="1">
      <c r="A144" s="975"/>
      <c r="B144" s="860"/>
      <c r="C144" s="1009"/>
      <c r="D144" s="990"/>
      <c r="E144" s="976" t="s">
        <v>73</v>
      </c>
      <c r="F144" s="860"/>
      <c r="G144" s="1010"/>
      <c r="H144" s="168" t="s">
        <v>35</v>
      </c>
      <c r="I144" s="863">
        <f ca="1">IFERROR(__xludf.DUMMYFUNCTION("IMPORTRANGE(""https://docs.google.com/spreadsheets/d/1QqKyyYR6Q21VydFLVH3TRQUabQu_ym0Zz7PgGX0-kHA/edit?usp=sharing"",""แผน!U51"")"),0)</f>
        <v>0</v>
      </c>
      <c r="J144" s="992">
        <v>0</v>
      </c>
      <c r="K144" s="864">
        <f t="shared" ca="1" si="75"/>
        <v>0</v>
      </c>
      <c r="L144" s="864"/>
      <c r="M144" s="864"/>
      <c r="N144" s="864"/>
      <c r="O144" s="864"/>
      <c r="P144" s="864"/>
    </row>
    <row r="145" spans="1:26" ht="19.5" hidden="1">
      <c r="A145" s="975"/>
      <c r="B145" s="860"/>
      <c r="C145" s="1009"/>
      <c r="D145" s="990"/>
      <c r="E145" s="976" t="s">
        <v>74</v>
      </c>
      <c r="F145" s="860"/>
      <c r="G145" s="1010"/>
      <c r="H145" s="168" t="s">
        <v>35</v>
      </c>
      <c r="I145" s="863">
        <f ca="1">IFERROR(__xludf.DUMMYFUNCTION("IMPORTRANGE(""https://docs.google.com/spreadsheets/d/1QqKyyYR6Q21VydFLVH3TRQUabQu_ym0Zz7PgGX0-kHA/edit?usp=sharing"",""แผน!V51"")"),0)</f>
        <v>0</v>
      </c>
      <c r="J145" s="992">
        <v>0</v>
      </c>
      <c r="K145" s="864">
        <f t="shared" ca="1" si="75"/>
        <v>0</v>
      </c>
      <c r="L145" s="864"/>
      <c r="M145" s="864"/>
      <c r="N145" s="864"/>
      <c r="O145" s="864"/>
      <c r="P145" s="864"/>
    </row>
    <row r="146" spans="1:26" ht="19.5" hidden="1">
      <c r="A146" s="975"/>
      <c r="B146" s="860"/>
      <c r="C146" s="1009"/>
      <c r="D146" s="976" t="s">
        <v>75</v>
      </c>
      <c r="E146" s="861"/>
      <c r="F146" s="860"/>
      <c r="G146" s="1010"/>
      <c r="H146" s="168" t="s">
        <v>66</v>
      </c>
      <c r="I146" s="863">
        <f ca="1">IFERROR(__xludf.DUMMYFUNCTION("IMPORTRANGE(""https://docs.google.com/spreadsheets/d/1QqKyyYR6Q21VydFLVH3TRQUabQu_ym0Zz7PgGX0-kHA/edit?usp=sharing"",""แผน!W51"")"),0)</f>
        <v>0</v>
      </c>
      <c r="J146" s="992">
        <v>0</v>
      </c>
      <c r="K146" s="864">
        <f t="shared" ca="1" si="75"/>
        <v>0</v>
      </c>
      <c r="L146" s="864"/>
      <c r="M146" s="864"/>
      <c r="N146" s="864"/>
      <c r="O146" s="864"/>
      <c r="P146" s="864"/>
    </row>
    <row r="147" spans="1:26" ht="19.5" hidden="1">
      <c r="A147" s="950" t="s">
        <v>76</v>
      </c>
      <c r="B147" s="951"/>
      <c r="C147" s="1002"/>
      <c r="D147" s="951"/>
      <c r="E147" s="951"/>
      <c r="F147" s="951"/>
      <c r="G147" s="951"/>
      <c r="H147" s="1003"/>
      <c r="I147" s="1004"/>
      <c r="J147" s="1004"/>
      <c r="K147" s="1005"/>
      <c r="L147" s="956"/>
      <c r="M147" s="956"/>
      <c r="N147" s="956"/>
      <c r="O147" s="956"/>
      <c r="P147" s="956"/>
    </row>
    <row r="148" spans="1:26" ht="19.5" hidden="1">
      <c r="A148" s="1011"/>
      <c r="B148" s="958" t="s">
        <v>77</v>
      </c>
      <c r="C148" s="958"/>
      <c r="D148" s="958"/>
      <c r="E148" s="1012"/>
      <c r="F148" s="1013"/>
      <c r="G148" s="1014"/>
      <c r="H148" s="221" t="s">
        <v>35</v>
      </c>
      <c r="I148" s="962">
        <f t="shared" ref="I148:J148" ca="1" si="76">I159</f>
        <v>0</v>
      </c>
      <c r="J148" s="962">
        <f t="shared" si="76"/>
        <v>0</v>
      </c>
      <c r="K148" s="963">
        <f ca="1">IF(I148&gt;0,J148*100/I148,0)</f>
        <v>0</v>
      </c>
      <c r="L148" s="963"/>
      <c r="M148" s="963"/>
      <c r="N148" s="963"/>
      <c r="O148" s="963"/>
      <c r="P148" s="963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65"/>
      <c r="B149" s="966"/>
      <c r="C149" s="967" t="s">
        <v>16</v>
      </c>
      <c r="D149" s="968" t="s">
        <v>17</v>
      </c>
      <c r="E149" s="966"/>
      <c r="F149" s="966"/>
      <c r="G149" s="969"/>
      <c r="H149" s="152" t="s">
        <v>12</v>
      </c>
      <c r="I149" s="970"/>
      <c r="J149" s="970"/>
      <c r="K149" s="971"/>
      <c r="L149" s="972">
        <f t="shared" ref="L149:N149" ca="1" si="77">L150+L151</f>
        <v>0</v>
      </c>
      <c r="M149" s="972">
        <f t="shared" ca="1" si="77"/>
        <v>0</v>
      </c>
      <c r="N149" s="972">
        <f t="shared" ca="1" si="77"/>
        <v>0</v>
      </c>
      <c r="O149" s="972">
        <f t="shared" ref="O149:O157" ca="1" si="78">IF(L149&gt;0,N149*100/L149,0)</f>
        <v>0</v>
      </c>
      <c r="P149" s="972">
        <f t="shared" ref="P149:P157" ca="1" si="79">IF(M149&gt;0,N149*100/M149,0)</f>
        <v>0</v>
      </c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</row>
    <row r="150" spans="1:26" ht="18.75" hidden="1">
      <c r="A150" s="973"/>
      <c r="B150" s="866"/>
      <c r="C150" s="866"/>
      <c r="D150" s="866"/>
      <c r="E150" s="867" t="s">
        <v>18</v>
      </c>
      <c r="F150" s="866"/>
      <c r="G150" s="974"/>
      <c r="H150" s="158" t="s">
        <v>12</v>
      </c>
      <c r="I150" s="869"/>
      <c r="J150" s="869"/>
      <c r="K150" s="870"/>
      <c r="L150" s="870">
        <f t="shared" ref="L150:N151" si="80">L153+L156</f>
        <v>0</v>
      </c>
      <c r="M150" s="870">
        <f t="shared" si="80"/>
        <v>0</v>
      </c>
      <c r="N150" s="870">
        <f t="shared" si="80"/>
        <v>0</v>
      </c>
      <c r="O150" s="870">
        <f t="shared" si="78"/>
        <v>0</v>
      </c>
      <c r="P150" s="870">
        <f t="shared" si="79"/>
        <v>0</v>
      </c>
      <c r="Q150" s="858"/>
      <c r="R150" s="858"/>
      <c r="S150" s="858"/>
      <c r="T150" s="858"/>
      <c r="U150" s="858"/>
      <c r="V150" s="858"/>
      <c r="W150" s="858"/>
      <c r="X150" s="858"/>
      <c r="Y150" s="858"/>
      <c r="Z150" s="858"/>
    </row>
    <row r="151" spans="1:26" ht="18.75" hidden="1">
      <c r="A151" s="973"/>
      <c r="B151" s="866"/>
      <c r="C151" s="866"/>
      <c r="D151" s="866"/>
      <c r="E151" s="867" t="s">
        <v>19</v>
      </c>
      <c r="F151" s="866"/>
      <c r="G151" s="974"/>
      <c r="H151" s="158" t="s">
        <v>12</v>
      </c>
      <c r="I151" s="869"/>
      <c r="J151" s="869"/>
      <c r="K151" s="870"/>
      <c r="L151" s="870">
        <f t="shared" ca="1" si="80"/>
        <v>0</v>
      </c>
      <c r="M151" s="870">
        <f t="shared" ca="1" si="80"/>
        <v>0</v>
      </c>
      <c r="N151" s="870">
        <f t="shared" ca="1" si="80"/>
        <v>0</v>
      </c>
      <c r="O151" s="870">
        <f t="shared" ca="1" si="78"/>
        <v>0</v>
      </c>
      <c r="P151" s="870">
        <f t="shared" ca="1" si="79"/>
        <v>0</v>
      </c>
      <c r="Q151" s="858"/>
      <c r="R151" s="858"/>
      <c r="S151" s="858"/>
      <c r="T151" s="858"/>
      <c r="U151" s="858"/>
      <c r="V151" s="858"/>
      <c r="W151" s="858"/>
      <c r="X151" s="858"/>
      <c r="Y151" s="858"/>
      <c r="Z151" s="858"/>
    </row>
    <row r="152" spans="1:26" ht="18.75" hidden="1">
      <c r="A152" s="975"/>
      <c r="B152" s="860"/>
      <c r="C152" s="976"/>
      <c r="D152" s="861" t="s">
        <v>20</v>
      </c>
      <c r="E152" s="860"/>
      <c r="F152" s="860"/>
      <c r="G152" s="862"/>
      <c r="H152" s="161" t="s">
        <v>12</v>
      </c>
      <c r="I152" s="977"/>
      <c r="J152" s="977"/>
      <c r="K152" s="978"/>
      <c r="L152" s="864">
        <f t="shared" ref="L152:N152" ca="1" si="81">L153+L154</f>
        <v>0</v>
      </c>
      <c r="M152" s="864">
        <f t="shared" ca="1" si="81"/>
        <v>0</v>
      </c>
      <c r="N152" s="864">
        <f t="shared" ca="1" si="81"/>
        <v>0</v>
      </c>
      <c r="O152" s="864">
        <f t="shared" ca="1" si="78"/>
        <v>0</v>
      </c>
      <c r="P152" s="864">
        <f t="shared" ca="1" si="79"/>
        <v>0</v>
      </c>
      <c r="Q152" s="851"/>
      <c r="R152" s="851"/>
      <c r="S152" s="851"/>
      <c r="T152" s="851"/>
      <c r="U152" s="851"/>
      <c r="V152" s="851"/>
      <c r="W152" s="851"/>
      <c r="X152" s="851"/>
      <c r="Y152" s="851"/>
      <c r="Z152" s="851"/>
    </row>
    <row r="153" spans="1:26" ht="19.5" hidden="1">
      <c r="A153" s="973"/>
      <c r="B153" s="866"/>
      <c r="C153" s="979"/>
      <c r="D153" s="866"/>
      <c r="E153" s="867" t="s">
        <v>36</v>
      </c>
      <c r="F153" s="866"/>
      <c r="G153" s="974"/>
      <c r="H153" s="165" t="s">
        <v>12</v>
      </c>
      <c r="I153" s="980"/>
      <c r="J153" s="980"/>
      <c r="K153" s="981"/>
      <c r="L153" s="870">
        <v>0</v>
      </c>
      <c r="M153" s="870">
        <v>0</v>
      </c>
      <c r="N153" s="870">
        <v>0</v>
      </c>
      <c r="O153" s="870">
        <f t="shared" si="78"/>
        <v>0</v>
      </c>
      <c r="P153" s="870">
        <f t="shared" si="79"/>
        <v>0</v>
      </c>
      <c r="Q153" s="858"/>
      <c r="R153" s="858"/>
      <c r="S153" s="858"/>
      <c r="T153" s="858"/>
      <c r="U153" s="858"/>
      <c r="V153" s="858"/>
      <c r="W153" s="858"/>
      <c r="X153" s="858"/>
      <c r="Y153" s="858"/>
      <c r="Z153" s="858"/>
    </row>
    <row r="154" spans="1:26" ht="19.5" hidden="1">
      <c r="A154" s="973"/>
      <c r="B154" s="866"/>
      <c r="C154" s="979"/>
      <c r="D154" s="866"/>
      <c r="E154" s="867" t="s">
        <v>37</v>
      </c>
      <c r="F154" s="866"/>
      <c r="G154" s="974"/>
      <c r="H154" s="165" t="s">
        <v>12</v>
      </c>
      <c r="I154" s="980"/>
      <c r="J154" s="980"/>
      <c r="K154" s="981"/>
      <c r="L154" s="870">
        <f ca="1">IFERROR(__xludf.DUMMYFUNCTION("IMPORTRANGE(""https://docs.google.com/spreadsheets/d/1MeEWN-I1oV_STSDYn1IFDPWt_1FKiwhDph83XaGc0o0/edit?usp=sharing"",""งบพรบ!BU51"")"),0)</f>
        <v>0</v>
      </c>
      <c r="M154" s="870">
        <f ca="1">IFERROR(__xludf.DUMMYFUNCTION("IMPORTRANGE(""https://docs.google.com/spreadsheets/d/1MeEWN-I1oV_STSDYn1IFDPWt_1FKiwhDph83XaGc0o0/edit?usp=sharing"",""งบพรบ!BZ51"")"),0)</f>
        <v>0</v>
      </c>
      <c r="N154" s="870">
        <f ca="1">IFERROR(__xludf.DUMMYFUNCTION("IMPORTRANGE(""https://docs.google.com/spreadsheets/d/1MeEWN-I1oV_STSDYn1IFDPWt_1FKiwhDph83XaGc0o0/edit?usp=sharing"",""งบพรบ!CB51"")"),0)</f>
        <v>0</v>
      </c>
      <c r="O154" s="870">
        <f t="shared" ca="1" si="78"/>
        <v>0</v>
      </c>
      <c r="P154" s="870">
        <f t="shared" ca="1" si="79"/>
        <v>0</v>
      </c>
      <c r="Q154" s="858"/>
      <c r="R154" s="858"/>
      <c r="S154" s="858"/>
      <c r="T154" s="858"/>
      <c r="U154" s="858"/>
      <c r="V154" s="858"/>
      <c r="W154" s="858"/>
      <c r="X154" s="858"/>
      <c r="Y154" s="858"/>
      <c r="Z154" s="858"/>
    </row>
    <row r="155" spans="1:26" ht="18.75" hidden="1">
      <c r="A155" s="975"/>
      <c r="B155" s="860"/>
      <c r="C155" s="976"/>
      <c r="D155" s="861" t="s">
        <v>21</v>
      </c>
      <c r="E155" s="860"/>
      <c r="F155" s="860"/>
      <c r="G155" s="862"/>
      <c r="H155" s="168" t="s">
        <v>12</v>
      </c>
      <c r="I155" s="977"/>
      <c r="J155" s="977"/>
      <c r="K155" s="978"/>
      <c r="L155" s="864">
        <f t="shared" ref="L155:N155" ca="1" si="82">L156+L157</f>
        <v>0</v>
      </c>
      <c r="M155" s="864">
        <f t="shared" ca="1" si="82"/>
        <v>0</v>
      </c>
      <c r="N155" s="864">
        <f t="shared" ca="1" si="82"/>
        <v>0</v>
      </c>
      <c r="O155" s="864">
        <f t="shared" ca="1" si="78"/>
        <v>0</v>
      </c>
      <c r="P155" s="864">
        <f t="shared" ca="1" si="79"/>
        <v>0</v>
      </c>
      <c r="Q155" s="851"/>
      <c r="R155" s="851"/>
      <c r="S155" s="851"/>
      <c r="T155" s="851"/>
      <c r="U155" s="851"/>
      <c r="V155" s="851"/>
      <c r="W155" s="851"/>
      <c r="X155" s="851"/>
      <c r="Y155" s="851"/>
      <c r="Z155" s="851"/>
    </row>
    <row r="156" spans="1:26" ht="19.5" hidden="1">
      <c r="A156" s="973"/>
      <c r="B156" s="866"/>
      <c r="C156" s="979"/>
      <c r="D156" s="866"/>
      <c r="E156" s="867" t="s">
        <v>18</v>
      </c>
      <c r="F156" s="866"/>
      <c r="G156" s="974"/>
      <c r="H156" s="165" t="s">
        <v>12</v>
      </c>
      <c r="I156" s="980"/>
      <c r="J156" s="980"/>
      <c r="K156" s="981"/>
      <c r="L156" s="870">
        <v>0</v>
      </c>
      <c r="M156" s="870">
        <v>0</v>
      </c>
      <c r="N156" s="870">
        <v>0</v>
      </c>
      <c r="O156" s="870">
        <f t="shared" si="78"/>
        <v>0</v>
      </c>
      <c r="P156" s="870">
        <f t="shared" si="79"/>
        <v>0</v>
      </c>
      <c r="Q156" s="858"/>
      <c r="R156" s="858"/>
      <c r="S156" s="858"/>
      <c r="T156" s="858"/>
      <c r="U156" s="858"/>
      <c r="V156" s="858"/>
      <c r="W156" s="858"/>
      <c r="X156" s="858"/>
      <c r="Y156" s="858"/>
      <c r="Z156" s="858"/>
    </row>
    <row r="157" spans="1:26" ht="19.5" hidden="1">
      <c r="A157" s="973"/>
      <c r="B157" s="866"/>
      <c r="C157" s="979"/>
      <c r="D157" s="866"/>
      <c r="E157" s="867" t="s">
        <v>19</v>
      </c>
      <c r="F157" s="866"/>
      <c r="G157" s="974"/>
      <c r="H157" s="169" t="s">
        <v>12</v>
      </c>
      <c r="I157" s="980"/>
      <c r="J157" s="980"/>
      <c r="K157" s="981"/>
      <c r="L157" s="870">
        <f ca="1">IFERROR(__xludf.DUMMYFUNCTION("IMPORTRANGE(""https://docs.google.com/spreadsheets/d/1MeEWN-I1oV_STSDYn1IFDPWt_1FKiwhDph83XaGc0o0/edit?usp=sharing"",""งบพรบ!BX51"")"),0)</f>
        <v>0</v>
      </c>
      <c r="M157" s="870">
        <f ca="1">IFERROR(__xludf.DUMMYFUNCTION("IMPORTRANGE(""https://docs.google.com/spreadsheets/d/1MeEWN-I1oV_STSDYn1IFDPWt_1FKiwhDph83XaGc0o0/edit?usp=sharing"",""งบพรบ!CA51"")"),0)</f>
        <v>0</v>
      </c>
      <c r="N157" s="870">
        <f ca="1">IFERROR(__xludf.DUMMYFUNCTION("IMPORTRANGE(""https://docs.google.com/spreadsheets/d/1MeEWN-I1oV_STSDYn1IFDPWt_1FKiwhDph83XaGc0o0/edit?usp=sharing"",""งบพรบ!CC51"")"),0)</f>
        <v>0</v>
      </c>
      <c r="O157" s="870">
        <f t="shared" ca="1" si="78"/>
        <v>0</v>
      </c>
      <c r="P157" s="870">
        <f t="shared" ca="1" si="79"/>
        <v>0</v>
      </c>
      <c r="Q157" s="858"/>
      <c r="R157" s="858"/>
      <c r="S157" s="858"/>
      <c r="T157" s="858"/>
      <c r="U157" s="858"/>
      <c r="V157" s="858"/>
      <c r="W157" s="858"/>
      <c r="X157" s="858"/>
      <c r="Y157" s="858"/>
      <c r="Z157" s="858"/>
    </row>
    <row r="158" spans="1:26" ht="19.5" hidden="1">
      <c r="A158" s="982"/>
      <c r="B158" s="983"/>
      <c r="C158" s="979" t="s">
        <v>16</v>
      </c>
      <c r="D158" s="984" t="s">
        <v>38</v>
      </c>
      <c r="E158" s="985"/>
      <c r="F158" s="985"/>
      <c r="G158" s="986"/>
      <c r="H158" s="168"/>
      <c r="I158" s="863"/>
      <c r="J158" s="863"/>
      <c r="K158" s="864"/>
      <c r="L158" s="864"/>
      <c r="M158" s="864"/>
      <c r="N158" s="864"/>
      <c r="O158" s="864"/>
      <c r="P158" s="864"/>
    </row>
    <row r="159" spans="1:26" ht="19.5" hidden="1">
      <c r="A159" s="975"/>
      <c r="B159" s="860"/>
      <c r="C159" s="1009"/>
      <c r="D159" s="976" t="s">
        <v>78</v>
      </c>
      <c r="E159" s="861"/>
      <c r="F159" s="860"/>
      <c r="G159" s="1010"/>
      <c r="H159" s="168" t="s">
        <v>35</v>
      </c>
      <c r="I159" s="863">
        <f ca="1">IFERROR(__xludf.DUMMYFUNCTION("IMPORTRANGE(""https://docs.google.com/spreadsheets/d/1QqKyyYR6Q21VydFLVH3TRQUabQu_ym0Zz7PgGX0-kHA/edit?usp=sharing"",""แผน!X51"")"),0)</f>
        <v>0</v>
      </c>
      <c r="J159" s="992">
        <v>0</v>
      </c>
      <c r="K159" s="864">
        <f ca="1">IF(I159&gt;0,J159*100/I159,0)</f>
        <v>0</v>
      </c>
      <c r="L159" s="864"/>
      <c r="M159" s="864"/>
      <c r="N159" s="864"/>
      <c r="O159" s="864"/>
      <c r="P159" s="864"/>
    </row>
    <row r="160" spans="1:26" ht="19.5" hidden="1">
      <c r="A160" s="973"/>
      <c r="B160" s="866"/>
      <c r="C160" s="979"/>
      <c r="D160" s="867" t="s">
        <v>79</v>
      </c>
      <c r="E160" s="1015"/>
      <c r="F160" s="866"/>
      <c r="G160" s="974"/>
      <c r="H160" s="169" t="s">
        <v>35</v>
      </c>
      <c r="I160" s="869"/>
      <c r="J160" s="869"/>
      <c r="K160" s="870"/>
      <c r="L160" s="870"/>
      <c r="M160" s="870"/>
      <c r="N160" s="870"/>
      <c r="O160" s="870"/>
      <c r="P160" s="870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16"/>
      <c r="B161" s="1017"/>
      <c r="C161" s="1018"/>
      <c r="D161" s="1019" t="s">
        <v>80</v>
      </c>
      <c r="E161" s="1020"/>
      <c r="F161" s="1017"/>
      <c r="G161" s="1021"/>
      <c r="H161" s="232" t="s">
        <v>35</v>
      </c>
      <c r="I161" s="1022"/>
      <c r="J161" s="1022"/>
      <c r="K161" s="1023"/>
      <c r="L161" s="1023"/>
      <c r="M161" s="1023"/>
      <c r="N161" s="1023"/>
      <c r="O161" s="1023"/>
      <c r="P161" s="102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24" t="s">
        <v>81</v>
      </c>
      <c r="B162" s="1025"/>
      <c r="C162" s="1025"/>
      <c r="D162" s="1025"/>
      <c r="E162" s="1026"/>
      <c r="F162" s="1026"/>
      <c r="G162" s="1027"/>
      <c r="H162" s="1028"/>
      <c r="I162" s="1029"/>
      <c r="J162" s="1029"/>
      <c r="K162" s="1030"/>
      <c r="L162" s="1030"/>
      <c r="M162" s="1030"/>
      <c r="N162" s="1030"/>
      <c r="O162" s="1030"/>
      <c r="P162" s="1030"/>
    </row>
    <row r="163" spans="1:26" ht="19.5">
      <c r="A163" s="1031" t="s">
        <v>82</v>
      </c>
      <c r="B163" s="1032"/>
      <c r="C163" s="1032"/>
      <c r="D163" s="1033"/>
      <c r="E163" s="1033"/>
      <c r="F163" s="1033"/>
      <c r="G163" s="1034"/>
      <c r="H163" s="1035"/>
      <c r="I163" s="1036"/>
      <c r="J163" s="1036"/>
      <c r="K163" s="1037"/>
      <c r="L163" s="1037"/>
      <c r="M163" s="1037"/>
      <c r="N163" s="1037"/>
      <c r="O163" s="1037"/>
      <c r="P163" s="1037"/>
    </row>
    <row r="164" spans="1:26" ht="19.5">
      <c r="A164" s="1038"/>
      <c r="B164" s="1039" t="s">
        <v>83</v>
      </c>
      <c r="C164" s="1040"/>
      <c r="D164" s="985"/>
      <c r="E164" s="985"/>
      <c r="F164" s="985"/>
      <c r="G164" s="986"/>
      <c r="H164" s="252" t="s">
        <v>35</v>
      </c>
      <c r="I164" s="1041">
        <f t="shared" ref="I164:J164" ca="1" si="83">I174+I177</f>
        <v>12</v>
      </c>
      <c r="J164" s="1041">
        <f t="shared" si="83"/>
        <v>12</v>
      </c>
      <c r="K164" s="1042">
        <f ca="1">IF(I164&gt;0,J164*100/I164,0)</f>
        <v>100</v>
      </c>
      <c r="L164" s="1043"/>
      <c r="M164" s="1043"/>
      <c r="N164" s="1043"/>
      <c r="O164" s="1043"/>
      <c r="P164" s="1043"/>
    </row>
    <row r="165" spans="1:26" ht="19.5">
      <c r="A165" s="965"/>
      <c r="B165" s="966"/>
      <c r="C165" s="967" t="s">
        <v>16</v>
      </c>
      <c r="D165" s="968" t="s">
        <v>17</v>
      </c>
      <c r="E165" s="966"/>
      <c r="F165" s="966"/>
      <c r="G165" s="969"/>
      <c r="H165" s="152" t="s">
        <v>12</v>
      </c>
      <c r="I165" s="970"/>
      <c r="J165" s="970"/>
      <c r="K165" s="971"/>
      <c r="L165" s="972">
        <f t="shared" ref="L165:N165" ca="1" si="84">L166+L167</f>
        <v>23060</v>
      </c>
      <c r="M165" s="972">
        <f t="shared" ca="1" si="84"/>
        <v>23060</v>
      </c>
      <c r="N165" s="972">
        <f t="shared" ca="1" si="84"/>
        <v>23060</v>
      </c>
      <c r="O165" s="972">
        <f t="shared" ref="O165:O173" ca="1" si="85">IF(L165&gt;0,N165*100/L165,0)</f>
        <v>100</v>
      </c>
      <c r="P165" s="972">
        <f t="shared" ref="P165:P173" ca="1" si="86">IF(M165&gt;0,N165*100/M165,0)</f>
        <v>100</v>
      </c>
      <c r="Q165" s="851"/>
      <c r="R165" s="851"/>
      <c r="S165" s="851"/>
      <c r="T165" s="851"/>
      <c r="U165" s="851"/>
      <c r="V165" s="851"/>
      <c r="W165" s="851"/>
      <c r="X165" s="851"/>
      <c r="Y165" s="851"/>
      <c r="Z165" s="851"/>
    </row>
    <row r="166" spans="1:26" ht="18.75" hidden="1">
      <c r="A166" s="973"/>
      <c r="B166" s="866"/>
      <c r="C166" s="866"/>
      <c r="D166" s="866"/>
      <c r="E166" s="867" t="s">
        <v>18</v>
      </c>
      <c r="F166" s="866"/>
      <c r="G166" s="974"/>
      <c r="H166" s="158" t="s">
        <v>12</v>
      </c>
      <c r="I166" s="869"/>
      <c r="J166" s="869"/>
      <c r="K166" s="870"/>
      <c r="L166" s="870">
        <f t="shared" ref="L166:N167" si="87">L169+L172</f>
        <v>0</v>
      </c>
      <c r="M166" s="870">
        <f t="shared" si="87"/>
        <v>0</v>
      </c>
      <c r="N166" s="870">
        <f t="shared" si="87"/>
        <v>0</v>
      </c>
      <c r="O166" s="870">
        <f t="shared" si="85"/>
        <v>0</v>
      </c>
      <c r="P166" s="870">
        <f t="shared" si="86"/>
        <v>0</v>
      </c>
      <c r="Q166" s="858"/>
      <c r="R166" s="858"/>
      <c r="S166" s="858"/>
      <c r="T166" s="858"/>
      <c r="U166" s="858"/>
      <c r="V166" s="858"/>
      <c r="W166" s="858"/>
      <c r="X166" s="858"/>
      <c r="Y166" s="858"/>
      <c r="Z166" s="858"/>
    </row>
    <row r="167" spans="1:26" ht="18.75" hidden="1">
      <c r="A167" s="973"/>
      <c r="B167" s="866"/>
      <c r="C167" s="866"/>
      <c r="D167" s="866"/>
      <c r="E167" s="867" t="s">
        <v>19</v>
      </c>
      <c r="F167" s="866"/>
      <c r="G167" s="974"/>
      <c r="H167" s="158" t="s">
        <v>12</v>
      </c>
      <c r="I167" s="869"/>
      <c r="J167" s="869"/>
      <c r="K167" s="870"/>
      <c r="L167" s="870">
        <f t="shared" ca="1" si="87"/>
        <v>23060</v>
      </c>
      <c r="M167" s="870">
        <f t="shared" ca="1" si="87"/>
        <v>23060</v>
      </c>
      <c r="N167" s="870">
        <f t="shared" ca="1" si="87"/>
        <v>23060</v>
      </c>
      <c r="O167" s="870">
        <f t="shared" ca="1" si="85"/>
        <v>100</v>
      </c>
      <c r="P167" s="870">
        <f t="shared" ca="1" si="86"/>
        <v>100</v>
      </c>
      <c r="Q167" s="858"/>
      <c r="R167" s="858"/>
      <c r="S167" s="858"/>
      <c r="T167" s="858"/>
      <c r="U167" s="858"/>
      <c r="V167" s="858"/>
      <c r="W167" s="858"/>
      <c r="X167" s="858"/>
      <c r="Y167" s="858"/>
      <c r="Z167" s="858"/>
    </row>
    <row r="168" spans="1:26" ht="18.75">
      <c r="A168" s="975"/>
      <c r="B168" s="860"/>
      <c r="C168" s="976"/>
      <c r="D168" s="861" t="s">
        <v>20</v>
      </c>
      <c r="E168" s="860"/>
      <c r="F168" s="860"/>
      <c r="G168" s="862"/>
      <c r="H168" s="161" t="s">
        <v>12</v>
      </c>
      <c r="I168" s="977"/>
      <c r="J168" s="977"/>
      <c r="K168" s="978"/>
      <c r="L168" s="864">
        <f t="shared" ref="L168:N168" ca="1" si="88">L169+L170</f>
        <v>23060</v>
      </c>
      <c r="M168" s="864">
        <f t="shared" ca="1" si="88"/>
        <v>23060</v>
      </c>
      <c r="N168" s="864">
        <f t="shared" ca="1" si="88"/>
        <v>23060</v>
      </c>
      <c r="O168" s="864">
        <f t="shared" ca="1" si="85"/>
        <v>100</v>
      </c>
      <c r="P168" s="864">
        <f t="shared" ca="1" si="86"/>
        <v>100</v>
      </c>
      <c r="Q168" s="851"/>
      <c r="R168" s="851"/>
      <c r="S168" s="851"/>
      <c r="T168" s="851"/>
      <c r="U168" s="851"/>
      <c r="V168" s="851"/>
      <c r="W168" s="851"/>
      <c r="X168" s="851"/>
      <c r="Y168" s="851"/>
      <c r="Z168" s="851"/>
    </row>
    <row r="169" spans="1:26" ht="19.5" hidden="1">
      <c r="A169" s="973"/>
      <c r="B169" s="866"/>
      <c r="C169" s="979"/>
      <c r="D169" s="866"/>
      <c r="E169" s="867" t="s">
        <v>36</v>
      </c>
      <c r="F169" s="866"/>
      <c r="G169" s="974"/>
      <c r="H169" s="165" t="s">
        <v>12</v>
      </c>
      <c r="I169" s="980"/>
      <c r="J169" s="980"/>
      <c r="K169" s="981"/>
      <c r="L169" s="870">
        <v>0</v>
      </c>
      <c r="M169" s="870">
        <v>0</v>
      </c>
      <c r="N169" s="870">
        <v>0</v>
      </c>
      <c r="O169" s="870">
        <f t="shared" si="85"/>
        <v>0</v>
      </c>
      <c r="P169" s="870">
        <f t="shared" si="86"/>
        <v>0</v>
      </c>
      <c r="Q169" s="858"/>
      <c r="R169" s="858"/>
      <c r="S169" s="858"/>
      <c r="T169" s="858"/>
      <c r="U169" s="858"/>
      <c r="V169" s="858"/>
      <c r="W169" s="858"/>
      <c r="X169" s="858"/>
      <c r="Y169" s="858"/>
      <c r="Z169" s="858"/>
    </row>
    <row r="170" spans="1:26" ht="19.5" hidden="1">
      <c r="A170" s="973"/>
      <c r="B170" s="866"/>
      <c r="C170" s="979"/>
      <c r="D170" s="866"/>
      <c r="E170" s="867" t="s">
        <v>37</v>
      </c>
      <c r="F170" s="866"/>
      <c r="G170" s="974"/>
      <c r="H170" s="165" t="s">
        <v>12</v>
      </c>
      <c r="I170" s="980"/>
      <c r="J170" s="980"/>
      <c r="K170" s="981"/>
      <c r="L170" s="870">
        <f ca="1">IFERROR(__xludf.DUMMYFUNCTION("IMPORTRANGE(""https://docs.google.com/spreadsheets/d/1MeEWN-I1oV_STSDYn1IFDPWt_1FKiwhDph83XaGc0o0/edit?usp=sharing"",""งบพรบ!CE51"")"),23060)</f>
        <v>23060</v>
      </c>
      <c r="M170" s="870">
        <f ca="1">IFERROR(__xludf.DUMMYFUNCTION("IMPORTRANGE(""https://docs.google.com/spreadsheets/d/1MeEWN-I1oV_STSDYn1IFDPWt_1FKiwhDph83XaGc0o0/edit?usp=sharing"",""งบพรบ!CJ51"")"),23060)</f>
        <v>23060</v>
      </c>
      <c r="N170" s="870">
        <f ca="1">IFERROR(__xludf.DUMMYFUNCTION("IMPORTRANGE(""https://docs.google.com/spreadsheets/d/1MeEWN-I1oV_STSDYn1IFDPWt_1FKiwhDph83XaGc0o0/edit?usp=sharing"",""งบพรบ!CL51"")"),23060)</f>
        <v>23060</v>
      </c>
      <c r="O170" s="870">
        <f t="shared" ca="1" si="85"/>
        <v>100</v>
      </c>
      <c r="P170" s="870">
        <f t="shared" ca="1" si="86"/>
        <v>100</v>
      </c>
      <c r="Q170" s="858"/>
      <c r="R170" s="858"/>
      <c r="S170" s="858"/>
      <c r="T170" s="858"/>
      <c r="U170" s="858"/>
      <c r="V170" s="858"/>
      <c r="W170" s="858"/>
      <c r="X170" s="858"/>
      <c r="Y170" s="858"/>
      <c r="Z170" s="858"/>
    </row>
    <row r="171" spans="1:26" ht="18.75">
      <c r="A171" s="975"/>
      <c r="B171" s="860"/>
      <c r="C171" s="976"/>
      <c r="D171" s="861" t="s">
        <v>21</v>
      </c>
      <c r="E171" s="860"/>
      <c r="F171" s="860"/>
      <c r="G171" s="862"/>
      <c r="H171" s="168" t="s">
        <v>12</v>
      </c>
      <c r="I171" s="977"/>
      <c r="J171" s="977"/>
      <c r="K171" s="978"/>
      <c r="L171" s="864">
        <f t="shared" ref="L171:N171" ca="1" si="89">L172+L173</f>
        <v>0</v>
      </c>
      <c r="M171" s="864">
        <f t="shared" ca="1" si="89"/>
        <v>0</v>
      </c>
      <c r="N171" s="864">
        <f t="shared" ca="1" si="89"/>
        <v>0</v>
      </c>
      <c r="O171" s="864">
        <f t="shared" ca="1" si="85"/>
        <v>0</v>
      </c>
      <c r="P171" s="864">
        <f t="shared" ca="1" si="86"/>
        <v>0</v>
      </c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</row>
    <row r="172" spans="1:26" ht="19.5" hidden="1">
      <c r="A172" s="973"/>
      <c r="B172" s="866"/>
      <c r="C172" s="979"/>
      <c r="D172" s="866"/>
      <c r="E172" s="867" t="s">
        <v>18</v>
      </c>
      <c r="F172" s="866"/>
      <c r="G172" s="974"/>
      <c r="H172" s="165" t="s">
        <v>12</v>
      </c>
      <c r="I172" s="980"/>
      <c r="J172" s="980"/>
      <c r="K172" s="981"/>
      <c r="L172" s="870">
        <v>0</v>
      </c>
      <c r="M172" s="870">
        <v>0</v>
      </c>
      <c r="N172" s="870">
        <v>0</v>
      </c>
      <c r="O172" s="870">
        <f t="shared" si="85"/>
        <v>0</v>
      </c>
      <c r="P172" s="870">
        <f t="shared" si="86"/>
        <v>0</v>
      </c>
      <c r="Q172" s="858"/>
      <c r="R172" s="858"/>
      <c r="S172" s="858"/>
      <c r="T172" s="858"/>
      <c r="U172" s="858"/>
      <c r="V172" s="858"/>
      <c r="W172" s="858"/>
      <c r="X172" s="858"/>
      <c r="Y172" s="858"/>
      <c r="Z172" s="858"/>
    </row>
    <row r="173" spans="1:26" ht="19.5" hidden="1">
      <c r="A173" s="973"/>
      <c r="B173" s="866"/>
      <c r="C173" s="979"/>
      <c r="D173" s="866"/>
      <c r="E173" s="867" t="s">
        <v>19</v>
      </c>
      <c r="F173" s="866"/>
      <c r="G173" s="974"/>
      <c r="H173" s="169" t="s">
        <v>12</v>
      </c>
      <c r="I173" s="980"/>
      <c r="J173" s="980"/>
      <c r="K173" s="981"/>
      <c r="L173" s="870">
        <f ca="1">IFERROR(__xludf.DUMMYFUNCTION("IMPORTRANGE(""https://docs.google.com/spreadsheets/d/1MeEWN-I1oV_STSDYn1IFDPWt_1FKiwhDph83XaGc0o0/edit?usp=sharing"",""งบพรบ!CH51"")"),0)</f>
        <v>0</v>
      </c>
      <c r="M173" s="870">
        <f ca="1">IFERROR(__xludf.DUMMYFUNCTION("IMPORTRANGE(""https://docs.google.com/spreadsheets/d/1MeEWN-I1oV_STSDYn1IFDPWt_1FKiwhDph83XaGc0o0/edit?usp=sharing"",""งบพรบ!CK51"")"),0)</f>
        <v>0</v>
      </c>
      <c r="N173" s="870">
        <f ca="1">IFERROR(__xludf.DUMMYFUNCTION("IMPORTRANGE(""https://docs.google.com/spreadsheets/d/1MeEWN-I1oV_STSDYn1IFDPWt_1FKiwhDph83XaGc0o0/edit?usp=sharing"",""งบพรบ!CM51"")"),0)</f>
        <v>0</v>
      </c>
      <c r="O173" s="870">
        <f t="shared" ca="1" si="85"/>
        <v>0</v>
      </c>
      <c r="P173" s="870">
        <f t="shared" ca="1" si="86"/>
        <v>0</v>
      </c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</row>
    <row r="174" spans="1:26" ht="19.5">
      <c r="A174" s="1044"/>
      <c r="B174" s="1045"/>
      <c r="C174" s="1046" t="s">
        <v>84</v>
      </c>
      <c r="D174" s="1045"/>
      <c r="E174" s="1045"/>
      <c r="F174" s="1045"/>
      <c r="G174" s="1047"/>
      <c r="H174" s="260" t="s">
        <v>35</v>
      </c>
      <c r="I174" s="1048">
        <f t="shared" ref="I174:J174" ca="1" si="90">I176</f>
        <v>12</v>
      </c>
      <c r="J174" s="1048">
        <f t="shared" si="90"/>
        <v>12</v>
      </c>
      <c r="K174" s="1049">
        <f ca="1">IF(I174&gt;0,J174*100/I174,0)</f>
        <v>100</v>
      </c>
      <c r="L174" s="1049"/>
      <c r="M174" s="1049"/>
      <c r="N174" s="1049"/>
      <c r="O174" s="1049"/>
      <c r="P174" s="1049"/>
    </row>
    <row r="175" spans="1:26" ht="19.5">
      <c r="A175" s="982"/>
      <c r="B175" s="983"/>
      <c r="C175" s="979" t="s">
        <v>16</v>
      </c>
      <c r="D175" s="984" t="s">
        <v>38</v>
      </c>
      <c r="E175" s="985"/>
      <c r="F175" s="985"/>
      <c r="G175" s="986"/>
      <c r="H175" s="987"/>
      <c r="I175" s="977"/>
      <c r="J175" s="977"/>
      <c r="K175" s="978"/>
      <c r="L175" s="978"/>
      <c r="M175" s="978"/>
      <c r="N175" s="978"/>
      <c r="O175" s="978"/>
      <c r="P175" s="978"/>
    </row>
    <row r="176" spans="1:26" ht="18.75">
      <c r="A176" s="982"/>
      <c r="B176" s="983"/>
      <c r="C176" s="983"/>
      <c r="D176" s="1050" t="s">
        <v>85</v>
      </c>
      <c r="E176" s="990"/>
      <c r="F176" s="990"/>
      <c r="G176" s="991"/>
      <c r="H176" s="617" t="s">
        <v>35</v>
      </c>
      <c r="I176" s="863">
        <f ca="1">IFERROR(__xludf.DUMMYFUNCTION("IMPORTRANGE(""https://docs.google.com/spreadsheets/d/1QqKyyYR6Q21VydFLVH3TRQUabQu_ym0Zz7PgGX0-kHA/edit?usp=sharing"",""แผน!Y51"")"),12)</f>
        <v>12</v>
      </c>
      <c r="J176" s="992">
        <v>12</v>
      </c>
      <c r="K176" s="978">
        <f ca="1">IF(I176&gt;0,J176*100/I176,0)</f>
        <v>100</v>
      </c>
      <c r="L176" s="978"/>
      <c r="M176" s="978"/>
      <c r="N176" s="978"/>
      <c r="O176" s="978"/>
      <c r="P176" s="978"/>
    </row>
    <row r="177" spans="1:26" ht="19.5" hidden="1">
      <c r="A177" s="1044"/>
      <c r="B177" s="1051"/>
      <c r="C177" s="1052" t="s">
        <v>86</v>
      </c>
      <c r="D177" s="1051"/>
      <c r="E177" s="1045"/>
      <c r="F177" s="1045"/>
      <c r="G177" s="1047"/>
      <c r="H177" s="266" t="s">
        <v>35</v>
      </c>
      <c r="I177" s="1048"/>
      <c r="J177" s="1048">
        <f>J179</f>
        <v>0</v>
      </c>
      <c r="K177" s="1049"/>
      <c r="L177" s="1049"/>
      <c r="M177" s="1049"/>
      <c r="N177" s="1049"/>
      <c r="O177" s="1049"/>
      <c r="P177" s="1049"/>
    </row>
    <row r="178" spans="1:26" ht="19.5" hidden="1">
      <c r="A178" s="982"/>
      <c r="B178" s="983"/>
      <c r="C178" s="979" t="s">
        <v>16</v>
      </c>
      <c r="D178" s="1053" t="s">
        <v>38</v>
      </c>
      <c r="E178" s="985"/>
      <c r="F178" s="985"/>
      <c r="G178" s="986"/>
      <c r="H178" s="987"/>
      <c r="I178" s="977"/>
      <c r="J178" s="977"/>
      <c r="K178" s="978"/>
      <c r="L178" s="978"/>
      <c r="M178" s="978"/>
      <c r="N178" s="978"/>
      <c r="O178" s="978"/>
      <c r="P178" s="978"/>
    </row>
    <row r="179" spans="1:26" ht="18.75" hidden="1">
      <c r="A179" s="982"/>
      <c r="B179" s="983"/>
      <c r="C179" s="983"/>
      <c r="D179" s="1054" t="s">
        <v>87</v>
      </c>
      <c r="E179" s="990"/>
      <c r="F179" s="1055"/>
      <c r="G179" s="991"/>
      <c r="H179" s="43" t="s">
        <v>35</v>
      </c>
      <c r="I179" s="863"/>
      <c r="J179" s="863"/>
      <c r="K179" s="978"/>
      <c r="L179" s="978"/>
      <c r="M179" s="978"/>
      <c r="N179" s="978"/>
      <c r="O179" s="978"/>
      <c r="P179" s="978"/>
    </row>
    <row r="180" spans="1:26" ht="19.5">
      <c r="A180" s="1038"/>
      <c r="B180" s="1039" t="s">
        <v>88</v>
      </c>
      <c r="C180" s="1040"/>
      <c r="D180" s="985"/>
      <c r="E180" s="985"/>
      <c r="F180" s="985"/>
      <c r="G180" s="986"/>
      <c r="H180" s="252" t="s">
        <v>35</v>
      </c>
      <c r="I180" s="1041">
        <f t="shared" ref="I180:J180" ca="1" si="91">I225+I226</f>
        <v>40</v>
      </c>
      <c r="J180" s="1041">
        <f t="shared" si="91"/>
        <v>40</v>
      </c>
      <c r="K180" s="1042">
        <f ca="1">IF(I180&gt;0,J180*100/I180,0)</f>
        <v>100</v>
      </c>
      <c r="L180" s="1043"/>
      <c r="M180" s="1043"/>
      <c r="N180" s="1043"/>
      <c r="O180" s="1043"/>
      <c r="P180" s="1043"/>
    </row>
    <row r="181" spans="1:26" ht="19.5">
      <c r="A181" s="965"/>
      <c r="B181" s="966"/>
      <c r="C181" s="967" t="s">
        <v>16</v>
      </c>
      <c r="D181" s="968" t="s">
        <v>17</v>
      </c>
      <c r="E181" s="966"/>
      <c r="F181" s="966"/>
      <c r="G181" s="969"/>
      <c r="H181" s="152" t="s">
        <v>12</v>
      </c>
      <c r="I181" s="970"/>
      <c r="J181" s="970"/>
      <c r="K181" s="971"/>
      <c r="L181" s="972">
        <f t="shared" ref="L181:N181" ca="1" si="92">L182+L183</f>
        <v>492400</v>
      </c>
      <c r="M181" s="972">
        <f t="shared" ca="1" si="92"/>
        <v>386525</v>
      </c>
      <c r="N181" s="972">
        <f t="shared" ca="1" si="92"/>
        <v>286025.09999999998</v>
      </c>
      <c r="O181" s="972">
        <f t="shared" ref="O181:O189" ca="1" si="93">IF(L181&gt;0,N181*100/L181,0)</f>
        <v>58.087956945572699</v>
      </c>
      <c r="P181" s="972">
        <f t="shared" ref="P181:P189" ca="1" si="94">IF(M181&gt;0,N181*100/M181,0)</f>
        <v>73.999120367375966</v>
      </c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</row>
    <row r="182" spans="1:26" ht="18.75" hidden="1">
      <c r="A182" s="973"/>
      <c r="B182" s="866"/>
      <c r="C182" s="866"/>
      <c r="D182" s="866"/>
      <c r="E182" s="867" t="s">
        <v>18</v>
      </c>
      <c r="F182" s="866"/>
      <c r="G182" s="974"/>
      <c r="H182" s="158" t="s">
        <v>12</v>
      </c>
      <c r="I182" s="869"/>
      <c r="J182" s="869"/>
      <c r="K182" s="870"/>
      <c r="L182" s="870">
        <f t="shared" ref="L182:N183" si="95">L185+L188</f>
        <v>0</v>
      </c>
      <c r="M182" s="870">
        <f t="shared" si="95"/>
        <v>0</v>
      </c>
      <c r="N182" s="870">
        <f t="shared" si="95"/>
        <v>0</v>
      </c>
      <c r="O182" s="870">
        <f t="shared" si="93"/>
        <v>0</v>
      </c>
      <c r="P182" s="870">
        <f t="shared" si="94"/>
        <v>0</v>
      </c>
      <c r="Q182" s="858"/>
      <c r="R182" s="858"/>
      <c r="S182" s="858"/>
      <c r="T182" s="858"/>
      <c r="U182" s="858"/>
      <c r="V182" s="858"/>
      <c r="W182" s="858"/>
      <c r="X182" s="858"/>
      <c r="Y182" s="858"/>
      <c r="Z182" s="858"/>
    </row>
    <row r="183" spans="1:26" ht="18.75" hidden="1">
      <c r="A183" s="973"/>
      <c r="B183" s="866"/>
      <c r="C183" s="866"/>
      <c r="D183" s="866"/>
      <c r="E183" s="867" t="s">
        <v>19</v>
      </c>
      <c r="F183" s="866"/>
      <c r="G183" s="974"/>
      <c r="H183" s="158" t="s">
        <v>12</v>
      </c>
      <c r="I183" s="869"/>
      <c r="J183" s="869"/>
      <c r="K183" s="870"/>
      <c r="L183" s="870">
        <f t="shared" ca="1" si="95"/>
        <v>492400</v>
      </c>
      <c r="M183" s="870">
        <f t="shared" ca="1" si="95"/>
        <v>386525</v>
      </c>
      <c r="N183" s="870">
        <f t="shared" ca="1" si="95"/>
        <v>286025.09999999998</v>
      </c>
      <c r="O183" s="870">
        <f t="shared" ca="1" si="93"/>
        <v>58.087956945572699</v>
      </c>
      <c r="P183" s="870">
        <f t="shared" ca="1" si="94"/>
        <v>73.999120367375966</v>
      </c>
      <c r="Q183" s="858"/>
      <c r="R183" s="858"/>
      <c r="S183" s="858"/>
      <c r="T183" s="858"/>
      <c r="U183" s="858"/>
      <c r="V183" s="858"/>
      <c r="W183" s="858"/>
      <c r="X183" s="858"/>
      <c r="Y183" s="858"/>
      <c r="Z183" s="858"/>
    </row>
    <row r="184" spans="1:26" ht="18.75">
      <c r="A184" s="975"/>
      <c r="B184" s="860"/>
      <c r="C184" s="976"/>
      <c r="D184" s="861" t="s">
        <v>20</v>
      </c>
      <c r="E184" s="860"/>
      <c r="F184" s="860"/>
      <c r="G184" s="862"/>
      <c r="H184" s="161" t="s">
        <v>12</v>
      </c>
      <c r="I184" s="977"/>
      <c r="J184" s="977"/>
      <c r="K184" s="978"/>
      <c r="L184" s="864">
        <f t="shared" ref="L184:N184" ca="1" si="96">L185+L186</f>
        <v>492400</v>
      </c>
      <c r="M184" s="864">
        <f t="shared" ca="1" si="96"/>
        <v>386525</v>
      </c>
      <c r="N184" s="864">
        <f t="shared" ca="1" si="96"/>
        <v>286025.09999999998</v>
      </c>
      <c r="O184" s="864">
        <f t="shared" ca="1" si="93"/>
        <v>58.087956945572699</v>
      </c>
      <c r="P184" s="864">
        <f t="shared" ca="1" si="94"/>
        <v>73.999120367375966</v>
      </c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</row>
    <row r="185" spans="1:26" ht="19.5" hidden="1">
      <c r="A185" s="973"/>
      <c r="B185" s="866"/>
      <c r="C185" s="979"/>
      <c r="D185" s="866"/>
      <c r="E185" s="867" t="s">
        <v>36</v>
      </c>
      <c r="F185" s="866"/>
      <c r="G185" s="974"/>
      <c r="H185" s="165" t="s">
        <v>12</v>
      </c>
      <c r="I185" s="980"/>
      <c r="J185" s="980"/>
      <c r="K185" s="981"/>
      <c r="L185" s="870">
        <v>0</v>
      </c>
      <c r="M185" s="870">
        <v>0</v>
      </c>
      <c r="N185" s="870">
        <v>0</v>
      </c>
      <c r="O185" s="870">
        <f t="shared" si="93"/>
        <v>0</v>
      </c>
      <c r="P185" s="870">
        <f t="shared" si="94"/>
        <v>0</v>
      </c>
      <c r="Q185" s="858"/>
      <c r="R185" s="858"/>
      <c r="S185" s="858"/>
      <c r="T185" s="858"/>
      <c r="U185" s="858"/>
      <c r="V185" s="858"/>
      <c r="W185" s="858"/>
      <c r="X185" s="858"/>
      <c r="Y185" s="858"/>
      <c r="Z185" s="858"/>
    </row>
    <row r="186" spans="1:26" ht="19.5" hidden="1">
      <c r="A186" s="973"/>
      <c r="B186" s="866"/>
      <c r="C186" s="979"/>
      <c r="D186" s="866"/>
      <c r="E186" s="867" t="s">
        <v>37</v>
      </c>
      <c r="F186" s="866"/>
      <c r="G186" s="974"/>
      <c r="H186" s="165" t="s">
        <v>12</v>
      </c>
      <c r="I186" s="980"/>
      <c r="J186" s="980"/>
      <c r="K186" s="981"/>
      <c r="L186" s="870">
        <f ca="1">IFERROR(__xludf.DUMMYFUNCTION("IMPORTRANGE(""https://docs.google.com/spreadsheets/d/1MeEWN-I1oV_STSDYn1IFDPWt_1FKiwhDph83XaGc0o0/edit?usp=sharing"",""งบพรบ!CO51"")"),492400)</f>
        <v>492400</v>
      </c>
      <c r="M186" s="870">
        <f ca="1">IFERROR(__xludf.DUMMYFUNCTION("IMPORTRANGE(""https://docs.google.com/spreadsheets/d/1MeEWN-I1oV_STSDYn1IFDPWt_1FKiwhDph83XaGc0o0/edit?usp=sharing"",""งบพรบ!CT51"")"),386525)</f>
        <v>386525</v>
      </c>
      <c r="N186" s="870">
        <f ca="1">IFERROR(__xludf.DUMMYFUNCTION("IMPORTRANGE(""https://docs.google.com/spreadsheets/d/1MeEWN-I1oV_STSDYn1IFDPWt_1FKiwhDph83XaGc0o0/edit?usp=sharing"",""งบพรบ!CV51"")"),286025.1)</f>
        <v>286025.09999999998</v>
      </c>
      <c r="O186" s="870">
        <f t="shared" ca="1" si="93"/>
        <v>58.087956945572699</v>
      </c>
      <c r="P186" s="870">
        <f t="shared" ca="1" si="94"/>
        <v>73.999120367375966</v>
      </c>
      <c r="Q186" s="858"/>
      <c r="R186" s="858"/>
      <c r="S186" s="858"/>
      <c r="T186" s="858"/>
      <c r="U186" s="858"/>
      <c r="V186" s="858"/>
      <c r="W186" s="858"/>
      <c r="X186" s="858"/>
      <c r="Y186" s="858"/>
      <c r="Z186" s="858"/>
    </row>
    <row r="187" spans="1:26" ht="18.75">
      <c r="A187" s="975"/>
      <c r="B187" s="860"/>
      <c r="C187" s="976"/>
      <c r="D187" s="861" t="s">
        <v>21</v>
      </c>
      <c r="E187" s="860"/>
      <c r="F187" s="860"/>
      <c r="G187" s="862"/>
      <c r="H187" s="168" t="s">
        <v>12</v>
      </c>
      <c r="I187" s="977"/>
      <c r="J187" s="977"/>
      <c r="K187" s="978"/>
      <c r="L187" s="864">
        <f t="shared" ref="L187:N187" ca="1" si="97">L188+L189</f>
        <v>0</v>
      </c>
      <c r="M187" s="864">
        <f t="shared" ca="1" si="97"/>
        <v>0</v>
      </c>
      <c r="N187" s="864">
        <f t="shared" ca="1" si="97"/>
        <v>0</v>
      </c>
      <c r="O187" s="864">
        <f t="shared" ca="1" si="93"/>
        <v>0</v>
      </c>
      <c r="P187" s="864">
        <f t="shared" ca="1" si="94"/>
        <v>0</v>
      </c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</row>
    <row r="188" spans="1:26" ht="19.5" hidden="1">
      <c r="A188" s="973"/>
      <c r="B188" s="866"/>
      <c r="C188" s="979"/>
      <c r="D188" s="866"/>
      <c r="E188" s="867" t="s">
        <v>18</v>
      </c>
      <c r="F188" s="866"/>
      <c r="G188" s="974"/>
      <c r="H188" s="165" t="s">
        <v>12</v>
      </c>
      <c r="I188" s="980"/>
      <c r="J188" s="980"/>
      <c r="K188" s="981"/>
      <c r="L188" s="870">
        <v>0</v>
      </c>
      <c r="M188" s="870">
        <v>0</v>
      </c>
      <c r="N188" s="870">
        <v>0</v>
      </c>
      <c r="O188" s="870">
        <f t="shared" si="93"/>
        <v>0</v>
      </c>
      <c r="P188" s="870">
        <f t="shared" si="94"/>
        <v>0</v>
      </c>
      <c r="Q188" s="858"/>
      <c r="R188" s="858"/>
      <c r="S188" s="858"/>
      <c r="T188" s="858"/>
      <c r="U188" s="858"/>
      <c r="V188" s="858"/>
      <c r="W188" s="858"/>
      <c r="X188" s="858"/>
      <c r="Y188" s="858"/>
      <c r="Z188" s="858"/>
    </row>
    <row r="189" spans="1:26" ht="19.5" hidden="1">
      <c r="A189" s="973"/>
      <c r="B189" s="866"/>
      <c r="C189" s="979"/>
      <c r="D189" s="866"/>
      <c r="E189" s="867" t="s">
        <v>19</v>
      </c>
      <c r="F189" s="866"/>
      <c r="G189" s="974"/>
      <c r="H189" s="169" t="s">
        <v>12</v>
      </c>
      <c r="I189" s="980"/>
      <c r="J189" s="980"/>
      <c r="K189" s="981"/>
      <c r="L189" s="870">
        <f ca="1">IFERROR(__xludf.DUMMYFUNCTION("IMPORTRANGE(""https://docs.google.com/spreadsheets/d/1MeEWN-I1oV_STSDYn1IFDPWt_1FKiwhDph83XaGc0o0/edit?usp=sharing"",""งบพรบ!CR51"")"),0)</f>
        <v>0</v>
      </c>
      <c r="M189" s="870">
        <f ca="1">IFERROR(__xludf.DUMMYFUNCTION("IMPORTRANGE(""https://docs.google.com/spreadsheets/d/1MeEWN-I1oV_STSDYn1IFDPWt_1FKiwhDph83XaGc0o0/edit?usp=sharing"",""งบพรบ!CU51"")"),0)</f>
        <v>0</v>
      </c>
      <c r="N189" s="870">
        <f ca="1">IFERROR(__xludf.DUMMYFUNCTION("IMPORTRANGE(""https://docs.google.com/spreadsheets/d/1MeEWN-I1oV_STSDYn1IFDPWt_1FKiwhDph83XaGc0o0/edit?usp=sharing"",""งบพรบ!CW51"")"),0)</f>
        <v>0</v>
      </c>
      <c r="O189" s="870">
        <f t="shared" ca="1" si="93"/>
        <v>0</v>
      </c>
      <c r="P189" s="870">
        <f t="shared" ca="1" si="94"/>
        <v>0</v>
      </c>
      <c r="Q189" s="858"/>
      <c r="R189" s="858"/>
      <c r="S189" s="858"/>
      <c r="T189" s="858"/>
      <c r="U189" s="858"/>
      <c r="V189" s="858"/>
      <c r="W189" s="858"/>
      <c r="X189" s="858"/>
      <c r="Y189" s="858"/>
      <c r="Z189" s="858"/>
    </row>
    <row r="190" spans="1:26" ht="19.5">
      <c r="A190" s="1044"/>
      <c r="B190" s="1051"/>
      <c r="C190" s="1056" t="s">
        <v>89</v>
      </c>
      <c r="D190" s="1045"/>
      <c r="E190" s="1045"/>
      <c r="F190" s="1045"/>
      <c r="G190" s="1047"/>
      <c r="H190" s="260" t="s">
        <v>90</v>
      </c>
      <c r="I190" s="1057">
        <f t="shared" ref="I190:J190" ca="1" si="98">I193</f>
        <v>4</v>
      </c>
      <c r="J190" s="1057">
        <f t="shared" si="98"/>
        <v>2</v>
      </c>
      <c r="K190" s="1058">
        <f ca="1">IF(I190&gt;0,J190*100/I190,0)</f>
        <v>50</v>
      </c>
      <c r="L190" s="1049"/>
      <c r="M190" s="1049"/>
      <c r="N190" s="1049"/>
      <c r="O190" s="1049"/>
      <c r="P190" s="1049"/>
    </row>
    <row r="191" spans="1:26" ht="19.5">
      <c r="A191" s="965"/>
      <c r="B191" s="966"/>
      <c r="C191" s="967" t="s">
        <v>16</v>
      </c>
      <c r="D191" s="1059" t="s">
        <v>17</v>
      </c>
      <c r="E191" s="966"/>
      <c r="F191" s="966"/>
      <c r="G191" s="969"/>
      <c r="H191" s="275" t="s">
        <v>12</v>
      </c>
      <c r="I191" s="970"/>
      <c r="J191" s="970"/>
      <c r="K191" s="971"/>
      <c r="L191" s="972">
        <f ca="1">IFERROR(__xludf.DUMMYFUNCTION("IMPORTRANGE(""https://docs.google.com/spreadsheets/d/1QqKyyYR6Q21VydFLVH3TRQUabQu_ym0Zz7PgGX0-kHA/edit?usp=sharing"",""แผน!Z51"")"),6000)</f>
        <v>6000</v>
      </c>
      <c r="M191" s="972"/>
      <c r="N191" s="1060">
        <v>0</v>
      </c>
      <c r="O191" s="972">
        <f ca="1">IF(L191&gt;0,N191*100/L191,0)</f>
        <v>0</v>
      </c>
      <c r="P191" s="972">
        <f>IF(M191&gt;0,N191*100/M191,0)</f>
        <v>0</v>
      </c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</row>
    <row r="192" spans="1:26" ht="19.5">
      <c r="A192" s="982"/>
      <c r="B192" s="983"/>
      <c r="C192" s="1009" t="s">
        <v>16</v>
      </c>
      <c r="D192" s="984" t="s">
        <v>38</v>
      </c>
      <c r="E192" s="985"/>
      <c r="F192" s="985"/>
      <c r="G192" s="986"/>
      <c r="H192" s="987"/>
      <c r="I192" s="863"/>
      <c r="J192" s="863"/>
      <c r="K192" s="864"/>
      <c r="L192" s="864"/>
      <c r="M192" s="864"/>
      <c r="N192" s="864"/>
      <c r="O192" s="864"/>
      <c r="P192" s="864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</row>
    <row r="193" spans="1:26" ht="18.75">
      <c r="A193" s="982"/>
      <c r="B193" s="983"/>
      <c r="C193" s="983"/>
      <c r="D193" s="989" t="s">
        <v>91</v>
      </c>
      <c r="E193" s="990"/>
      <c r="F193" s="990"/>
      <c r="G193" s="991"/>
      <c r="H193" s="757" t="s">
        <v>90</v>
      </c>
      <c r="I193" s="863">
        <f ca="1">IFERROR(__xludf.DUMMYFUNCTION("IMPORTRANGE(""https://docs.google.com/spreadsheets/d/1QqKyyYR6Q21VydFLVH3TRQUabQu_ym0Zz7PgGX0-kHA/edit?usp=sharing"",""แผน!AC51"")"),4)</f>
        <v>4</v>
      </c>
      <c r="J193" s="992">
        <v>2</v>
      </c>
      <c r="K193" s="864">
        <f ca="1">IF(I193&gt;0,J193*100/I193,0)</f>
        <v>50</v>
      </c>
      <c r="L193" s="864"/>
      <c r="M193" s="864"/>
      <c r="N193" s="864"/>
      <c r="O193" s="864"/>
      <c r="P193" s="864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</row>
    <row r="194" spans="1:26" ht="18.75">
      <c r="A194" s="982"/>
      <c r="B194" s="983"/>
      <c r="C194" s="983"/>
      <c r="D194" s="989" t="s">
        <v>92</v>
      </c>
      <c r="E194" s="990"/>
      <c r="F194" s="990"/>
      <c r="G194" s="991"/>
      <c r="H194" s="277" t="s">
        <v>35</v>
      </c>
      <c r="I194" s="863"/>
      <c r="J194" s="863">
        <f>J195+J196</f>
        <v>111</v>
      </c>
      <c r="K194" s="864"/>
      <c r="L194" s="864"/>
      <c r="M194" s="864"/>
      <c r="N194" s="864"/>
      <c r="O194" s="864"/>
      <c r="P194" s="864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</row>
    <row r="195" spans="1:26" ht="18.75">
      <c r="A195" s="982"/>
      <c r="B195" s="983"/>
      <c r="C195" s="983"/>
      <c r="D195" s="983"/>
      <c r="E195" s="989" t="s">
        <v>93</v>
      </c>
      <c r="F195" s="990"/>
      <c r="G195" s="991"/>
      <c r="H195" s="277" t="s">
        <v>35</v>
      </c>
      <c r="I195" s="863"/>
      <c r="J195" s="992">
        <v>111</v>
      </c>
      <c r="K195" s="864"/>
      <c r="L195" s="864"/>
      <c r="M195" s="864"/>
      <c r="N195" s="864"/>
      <c r="O195" s="864"/>
      <c r="P195" s="864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</row>
    <row r="196" spans="1:26" ht="18.75">
      <c r="A196" s="982"/>
      <c r="B196" s="983"/>
      <c r="C196" s="983"/>
      <c r="D196" s="983"/>
      <c r="E196" s="989" t="s">
        <v>94</v>
      </c>
      <c r="F196" s="990"/>
      <c r="G196" s="991"/>
      <c r="H196" s="277" t="s">
        <v>35</v>
      </c>
      <c r="I196" s="863"/>
      <c r="J196" s="992">
        <v>0</v>
      </c>
      <c r="K196" s="864"/>
      <c r="L196" s="864"/>
      <c r="M196" s="864"/>
      <c r="N196" s="864"/>
      <c r="O196" s="864"/>
      <c r="P196" s="864"/>
      <c r="Q196" s="851"/>
      <c r="R196" s="851"/>
      <c r="S196" s="851"/>
      <c r="T196" s="851"/>
      <c r="U196" s="851"/>
      <c r="V196" s="851"/>
      <c r="W196" s="851"/>
      <c r="X196" s="851"/>
      <c r="Y196" s="851"/>
      <c r="Z196" s="851"/>
    </row>
    <row r="197" spans="1:26" ht="19.5">
      <c r="A197" s="1044"/>
      <c r="B197" s="1051"/>
      <c r="C197" s="1056" t="s">
        <v>95</v>
      </c>
      <c r="D197" s="1045"/>
      <c r="E197" s="1045"/>
      <c r="F197" s="1045"/>
      <c r="G197" s="1047"/>
      <c r="H197" s="278" t="s">
        <v>96</v>
      </c>
      <c r="I197" s="1057">
        <f t="shared" ref="I197:J197" ca="1" si="99">I204</f>
        <v>4</v>
      </c>
      <c r="J197" s="1057">
        <f t="shared" si="99"/>
        <v>4</v>
      </c>
      <c r="K197" s="1058">
        <f ca="1">IF(I197&gt;0,J197*100/I197,0)</f>
        <v>100</v>
      </c>
      <c r="L197" s="1049"/>
      <c r="M197" s="1049"/>
      <c r="N197" s="1049"/>
      <c r="O197" s="1049"/>
      <c r="P197" s="1049"/>
    </row>
    <row r="198" spans="1:26" ht="19.5">
      <c r="A198" s="965"/>
      <c r="B198" s="966"/>
      <c r="C198" s="967" t="s">
        <v>16</v>
      </c>
      <c r="D198" s="1059" t="s">
        <v>17</v>
      </c>
      <c r="E198" s="966"/>
      <c r="F198" s="966"/>
      <c r="G198" s="969"/>
      <c r="H198" s="275" t="s">
        <v>12</v>
      </c>
      <c r="I198" s="1061"/>
      <c r="J198" s="1061"/>
      <c r="K198" s="1062"/>
      <c r="L198" s="972">
        <f ca="1">L199+L200+L201+L202</f>
        <v>52000</v>
      </c>
      <c r="M198" s="972"/>
      <c r="N198" s="972">
        <f>N199+N200+N201+N202</f>
        <v>32000</v>
      </c>
      <c r="O198" s="972">
        <f ca="1">IF(L198&gt;0,N198*100/L198,0)</f>
        <v>61.53846153846154</v>
      </c>
      <c r="P198" s="972">
        <f>IF(M198&gt;0,N198*100/M198,0)</f>
        <v>0</v>
      </c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</row>
    <row r="199" spans="1:26" ht="18.75">
      <c r="A199" s="975"/>
      <c r="B199" s="1063"/>
      <c r="C199" s="860"/>
      <c r="D199" s="976" t="s">
        <v>97</v>
      </c>
      <c r="E199" s="860"/>
      <c r="F199" s="860"/>
      <c r="G199" s="862"/>
      <c r="H199" s="161" t="s">
        <v>12</v>
      </c>
      <c r="I199" s="977"/>
      <c r="J199" s="977"/>
      <c r="K199" s="978"/>
      <c r="L199" s="864">
        <f ca="1">IFERROR(__xludf.DUMMYFUNCTION("IMPORTRANGE(""https://docs.google.com/spreadsheets/d/1QqKyyYR6Q21VydFLVH3TRQUabQu_ym0Zz7PgGX0-kHA/edit?usp=sharing"",""แผน!AE51"")"),4000)</f>
        <v>4000</v>
      </c>
      <c r="M199" s="864"/>
      <c r="N199" s="1064">
        <v>0</v>
      </c>
      <c r="O199" s="864"/>
      <c r="P199" s="864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</row>
    <row r="200" spans="1:26" ht="19.5">
      <c r="A200" s="1065"/>
      <c r="B200" s="1063"/>
      <c r="C200" s="1009"/>
      <c r="D200" s="976" t="s">
        <v>98</v>
      </c>
      <c r="E200" s="860"/>
      <c r="F200" s="860"/>
      <c r="G200" s="862"/>
      <c r="H200" s="617" t="s">
        <v>12</v>
      </c>
      <c r="I200" s="863"/>
      <c r="J200" s="863"/>
      <c r="K200" s="864"/>
      <c r="L200" s="864">
        <f ca="1">IFERROR(__xludf.DUMMYFUNCTION("IMPORTRANGE(""https://docs.google.com/spreadsheets/d/1QqKyyYR6Q21VydFLVH3TRQUabQu_ym0Zz7PgGX0-kHA/edit?usp=sharing"",""แผน!AF51"")"),32000)</f>
        <v>32000</v>
      </c>
      <c r="M200" s="864"/>
      <c r="N200" s="1064">
        <v>32000</v>
      </c>
      <c r="O200" s="864"/>
      <c r="P200" s="864"/>
      <c r="Q200" s="1066"/>
      <c r="R200" s="1066"/>
      <c r="S200" s="1066"/>
      <c r="T200" s="1066"/>
      <c r="U200" s="1066"/>
      <c r="V200" s="1066"/>
      <c r="W200" s="1066"/>
      <c r="X200" s="1066"/>
      <c r="Y200" s="1066"/>
      <c r="Z200" s="1066"/>
    </row>
    <row r="201" spans="1:26" ht="19.5">
      <c r="A201" s="1065"/>
      <c r="B201" s="1063"/>
      <c r="C201" s="1009"/>
      <c r="D201" s="976" t="s">
        <v>99</v>
      </c>
      <c r="E201" s="860"/>
      <c r="F201" s="860"/>
      <c r="G201" s="862"/>
      <c r="H201" s="617" t="s">
        <v>12</v>
      </c>
      <c r="I201" s="863"/>
      <c r="J201" s="863"/>
      <c r="K201" s="864"/>
      <c r="L201" s="864">
        <f ca="1">IFERROR(__xludf.DUMMYFUNCTION("IMPORTRANGE(""https://docs.google.com/spreadsheets/d/1QqKyyYR6Q21VydFLVH3TRQUabQu_ym0Zz7PgGX0-kHA/edit?usp=sharing"",""แผน!AG51"")"),16000)</f>
        <v>16000</v>
      </c>
      <c r="M201" s="864"/>
      <c r="N201" s="1064">
        <v>0</v>
      </c>
      <c r="O201" s="864"/>
      <c r="P201" s="864"/>
      <c r="Q201" s="1066"/>
      <c r="R201" s="1066"/>
      <c r="S201" s="1066"/>
      <c r="T201" s="1066"/>
      <c r="U201" s="1066"/>
      <c r="V201" s="1066"/>
      <c r="W201" s="1066"/>
      <c r="X201" s="1066"/>
      <c r="Y201" s="1066"/>
      <c r="Z201" s="1066"/>
    </row>
    <row r="202" spans="1:26" ht="19.5">
      <c r="A202" s="1065"/>
      <c r="B202" s="1063"/>
      <c r="C202" s="1009"/>
      <c r="D202" s="976" t="s">
        <v>100</v>
      </c>
      <c r="E202" s="860"/>
      <c r="F202" s="860"/>
      <c r="G202" s="862"/>
      <c r="H202" s="617" t="s">
        <v>12</v>
      </c>
      <c r="I202" s="863"/>
      <c r="J202" s="863"/>
      <c r="K202" s="864"/>
      <c r="L202" s="864">
        <f ca="1">IFERROR(__xludf.DUMMYFUNCTION("IMPORTRANGE(""https://docs.google.com/spreadsheets/d/1QqKyyYR6Q21VydFLVH3TRQUabQu_ym0Zz7PgGX0-kHA/edit?usp=sharing"",""แผน!AH51"")"),0)</f>
        <v>0</v>
      </c>
      <c r="M202" s="864"/>
      <c r="N202" s="1064">
        <v>0</v>
      </c>
      <c r="O202" s="864"/>
      <c r="P202" s="864"/>
      <c r="Q202" s="1066"/>
      <c r="R202" s="1066"/>
      <c r="S202" s="1066"/>
      <c r="T202" s="1066"/>
      <c r="U202" s="1066"/>
      <c r="V202" s="1066"/>
      <c r="W202" s="1066"/>
      <c r="X202" s="1066"/>
      <c r="Y202" s="1066"/>
      <c r="Z202" s="1066"/>
    </row>
    <row r="203" spans="1:26" ht="19.5">
      <c r="A203" s="982"/>
      <c r="B203" s="983"/>
      <c r="C203" s="1009" t="s">
        <v>16</v>
      </c>
      <c r="D203" s="984" t="s">
        <v>38</v>
      </c>
      <c r="E203" s="985"/>
      <c r="F203" s="985"/>
      <c r="G203" s="986"/>
      <c r="H203" s="987"/>
      <c r="I203" s="977"/>
      <c r="J203" s="977"/>
      <c r="K203" s="978"/>
      <c r="L203" s="978"/>
      <c r="M203" s="978"/>
      <c r="N203" s="978"/>
      <c r="O203" s="978"/>
      <c r="P203" s="978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</row>
    <row r="204" spans="1:26" ht="18.75">
      <c r="A204" s="982"/>
      <c r="B204" s="983"/>
      <c r="C204" s="983"/>
      <c r="D204" s="988" t="s">
        <v>101</v>
      </c>
      <c r="E204" s="990"/>
      <c r="F204" s="990"/>
      <c r="G204" s="991"/>
      <c r="H204" s="987" t="s">
        <v>96</v>
      </c>
      <c r="I204" s="863">
        <f ca="1">IFERROR(__xludf.DUMMYFUNCTION("IMPORTRANGE(""https://docs.google.com/spreadsheets/d/1QqKyyYR6Q21VydFLVH3TRQUabQu_ym0Zz7PgGX0-kHA/edit?usp=sharing"",""แผน!AI51"")"),4)</f>
        <v>4</v>
      </c>
      <c r="J204" s="992">
        <v>4</v>
      </c>
      <c r="K204" s="978">
        <f ca="1">IF(I204&gt;0,J204*100/I204,0)</f>
        <v>100</v>
      </c>
      <c r="L204" s="864"/>
      <c r="M204" s="864"/>
      <c r="N204" s="864"/>
      <c r="O204" s="864"/>
      <c r="P204" s="864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</row>
    <row r="205" spans="1:26" ht="18.75">
      <c r="A205" s="982"/>
      <c r="B205" s="983"/>
      <c r="C205" s="983"/>
      <c r="D205" s="989" t="s">
        <v>59</v>
      </c>
      <c r="E205" s="990"/>
      <c r="F205" s="990"/>
      <c r="G205" s="991"/>
      <c r="H205" s="987"/>
      <c r="I205" s="863"/>
      <c r="J205" s="863"/>
      <c r="K205" s="978"/>
      <c r="L205" s="864"/>
      <c r="M205" s="864"/>
      <c r="N205" s="864"/>
      <c r="O205" s="864"/>
      <c r="P205" s="864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</row>
    <row r="206" spans="1:26" ht="18.75">
      <c r="A206" s="982"/>
      <c r="B206" s="983"/>
      <c r="C206" s="983"/>
      <c r="D206" s="990"/>
      <c r="E206" s="1001" t="s">
        <v>102</v>
      </c>
      <c r="F206" s="1067"/>
      <c r="G206" s="1068"/>
      <c r="H206" s="1069" t="s">
        <v>96</v>
      </c>
      <c r="I206" s="863">
        <v>4</v>
      </c>
      <c r="J206" s="992">
        <v>0</v>
      </c>
      <c r="K206" s="978">
        <f t="shared" ref="K206:K208" si="100">IF(I206&gt;0,J206*100/I206,0)</f>
        <v>0</v>
      </c>
      <c r="L206" s="864"/>
      <c r="M206" s="864"/>
      <c r="N206" s="864"/>
      <c r="O206" s="864"/>
      <c r="P206" s="864"/>
      <c r="Q206" s="851"/>
      <c r="R206" s="851"/>
      <c r="S206" s="851"/>
      <c r="T206" s="851"/>
      <c r="U206" s="851"/>
      <c r="V206" s="851"/>
      <c r="W206" s="851"/>
      <c r="X206" s="851"/>
      <c r="Y206" s="851"/>
      <c r="Z206" s="851"/>
    </row>
    <row r="207" spans="1:26" ht="18.75">
      <c r="A207" s="982"/>
      <c r="B207" s="983"/>
      <c r="C207" s="983"/>
      <c r="D207" s="989"/>
      <c r="E207" s="989" t="s">
        <v>103</v>
      </c>
      <c r="F207" s="990"/>
      <c r="G207" s="990"/>
      <c r="H207" s="290" t="s">
        <v>104</v>
      </c>
      <c r="I207" s="863">
        <v>0</v>
      </c>
      <c r="J207" s="992">
        <v>0</v>
      </c>
      <c r="K207" s="978">
        <f t="shared" si="100"/>
        <v>0</v>
      </c>
      <c r="L207" s="864"/>
      <c r="M207" s="864"/>
      <c r="N207" s="864"/>
      <c r="O207" s="864"/>
      <c r="P207" s="864"/>
      <c r="Q207" s="851"/>
      <c r="R207" s="851"/>
      <c r="S207" s="851"/>
      <c r="T207" s="851"/>
      <c r="U207" s="851"/>
      <c r="V207" s="851"/>
      <c r="W207" s="851"/>
      <c r="X207" s="851"/>
      <c r="Y207" s="851"/>
      <c r="Z207" s="851"/>
    </row>
    <row r="208" spans="1:26" ht="19.5">
      <c r="A208" s="1044"/>
      <c r="B208" s="1051"/>
      <c r="C208" s="1056" t="s">
        <v>105</v>
      </c>
      <c r="D208" s="1045"/>
      <c r="E208" s="1045"/>
      <c r="F208" s="1070"/>
      <c r="G208" s="1047"/>
      <c r="H208" s="278" t="s">
        <v>96</v>
      </c>
      <c r="I208" s="1057">
        <f t="shared" ref="I208:J208" ca="1" si="101">I215</f>
        <v>2</v>
      </c>
      <c r="J208" s="1057">
        <f t="shared" si="101"/>
        <v>2</v>
      </c>
      <c r="K208" s="1058">
        <f t="shared" ca="1" si="100"/>
        <v>100</v>
      </c>
      <c r="L208" s="1049"/>
      <c r="M208" s="1049"/>
      <c r="N208" s="1049"/>
      <c r="O208" s="1049"/>
      <c r="P208" s="1049"/>
    </row>
    <row r="209" spans="1:26" ht="19.5">
      <c r="A209" s="965"/>
      <c r="B209" s="966"/>
      <c r="C209" s="967" t="s">
        <v>16</v>
      </c>
      <c r="D209" s="1059" t="s">
        <v>17</v>
      </c>
      <c r="E209" s="966"/>
      <c r="F209" s="966"/>
      <c r="G209" s="969"/>
      <c r="H209" s="275" t="s">
        <v>12</v>
      </c>
      <c r="I209" s="1061"/>
      <c r="J209" s="1061"/>
      <c r="K209" s="1062"/>
      <c r="L209" s="972">
        <f ca="1">L210+L211+L212</f>
        <v>28000</v>
      </c>
      <c r="M209" s="972"/>
      <c r="N209" s="972">
        <f>N210+N211+N212</f>
        <v>28000</v>
      </c>
      <c r="O209" s="972">
        <f ca="1">IF(L209&gt;0,N209*100/L209,0)</f>
        <v>100</v>
      </c>
      <c r="P209" s="972">
        <f>IF(M209&gt;0,N209*100/M209,0)</f>
        <v>0</v>
      </c>
      <c r="Q209" s="851"/>
      <c r="R209" s="851"/>
      <c r="S209" s="851"/>
      <c r="T209" s="851"/>
      <c r="U209" s="851"/>
      <c r="V209" s="851"/>
      <c r="W209" s="851"/>
      <c r="X209" s="851"/>
      <c r="Y209" s="851"/>
      <c r="Z209" s="851"/>
    </row>
    <row r="210" spans="1:26" ht="18.75">
      <c r="A210" s="975"/>
      <c r="B210" s="1063"/>
      <c r="C210" s="860"/>
      <c r="D210" s="976" t="s">
        <v>97</v>
      </c>
      <c r="E210" s="860"/>
      <c r="F210" s="860"/>
      <c r="G210" s="862"/>
      <c r="H210" s="161" t="s">
        <v>12</v>
      </c>
      <c r="I210" s="977"/>
      <c r="J210" s="977"/>
      <c r="K210" s="978"/>
      <c r="L210" s="864">
        <f ca="1">IFERROR(__xludf.DUMMYFUNCTION("IMPORTRANGE(""https://docs.google.com/spreadsheets/d/1QqKyyYR6Q21VydFLVH3TRQUabQu_ym0Zz7PgGX0-kHA/edit?usp=sharing"",""แผน!AK51"")"),2000)</f>
        <v>2000</v>
      </c>
      <c r="M210" s="864"/>
      <c r="N210" s="1064">
        <v>2000</v>
      </c>
      <c r="O210" s="864"/>
      <c r="P210" s="864"/>
      <c r="Q210" s="851"/>
      <c r="R210" s="851"/>
      <c r="S210" s="851"/>
      <c r="T210" s="851"/>
      <c r="U210" s="851"/>
      <c r="V210" s="851"/>
      <c r="W210" s="851"/>
      <c r="X210" s="851"/>
      <c r="Y210" s="851"/>
      <c r="Z210" s="851"/>
    </row>
    <row r="211" spans="1:26" ht="19.5">
      <c r="A211" s="1065"/>
      <c r="B211" s="1063"/>
      <c r="C211" s="1071"/>
      <c r="D211" s="976" t="s">
        <v>99</v>
      </c>
      <c r="E211" s="860"/>
      <c r="F211" s="860"/>
      <c r="G211" s="862"/>
      <c r="H211" s="161" t="s">
        <v>12</v>
      </c>
      <c r="I211" s="863"/>
      <c r="J211" s="863"/>
      <c r="K211" s="864"/>
      <c r="L211" s="864">
        <f ca="1">IFERROR(__xludf.DUMMYFUNCTION("IMPORTRANGE(""https://docs.google.com/spreadsheets/d/1QqKyyYR6Q21VydFLVH3TRQUabQu_ym0Zz7PgGX0-kHA/edit?usp=sharing"",""แผน!AL51"")"),10000)</f>
        <v>10000</v>
      </c>
      <c r="M211" s="864"/>
      <c r="N211" s="1064">
        <v>10000</v>
      </c>
      <c r="O211" s="864"/>
      <c r="P211" s="864"/>
      <c r="Q211" s="1066"/>
      <c r="R211" s="1066"/>
      <c r="S211" s="1066"/>
      <c r="T211" s="1066"/>
      <c r="U211" s="1066"/>
      <c r="V211" s="1066"/>
      <c r="W211" s="1066"/>
      <c r="X211" s="1066"/>
      <c r="Y211" s="1066"/>
      <c r="Z211" s="1066"/>
    </row>
    <row r="212" spans="1:26" ht="19.5">
      <c r="A212" s="1065"/>
      <c r="B212" s="1063"/>
      <c r="C212" s="1071"/>
      <c r="D212" s="976" t="s">
        <v>98</v>
      </c>
      <c r="E212" s="860"/>
      <c r="F212" s="860"/>
      <c r="G212" s="862"/>
      <c r="H212" s="161" t="s">
        <v>12</v>
      </c>
      <c r="I212" s="863"/>
      <c r="J212" s="863"/>
      <c r="K212" s="864"/>
      <c r="L212" s="864">
        <f ca="1">IFERROR(__xludf.DUMMYFUNCTION("IMPORTRANGE(""https://docs.google.com/spreadsheets/d/1QqKyyYR6Q21VydFLVH3TRQUabQu_ym0Zz7PgGX0-kHA/edit?usp=sharing"",""แผน!AM51"")"),16000)</f>
        <v>16000</v>
      </c>
      <c r="M212" s="864"/>
      <c r="N212" s="1064">
        <v>16000</v>
      </c>
      <c r="O212" s="864"/>
      <c r="P212" s="864"/>
      <c r="Q212" s="1066"/>
      <c r="R212" s="1066"/>
      <c r="S212" s="1066"/>
      <c r="T212" s="1066"/>
      <c r="U212" s="1066"/>
      <c r="V212" s="1066"/>
      <c r="W212" s="1066"/>
      <c r="X212" s="1066"/>
      <c r="Y212" s="1066"/>
      <c r="Z212" s="1066"/>
    </row>
    <row r="213" spans="1:26" ht="19.5">
      <c r="A213" s="982"/>
      <c r="B213" s="983"/>
      <c r="C213" s="1071" t="s">
        <v>16</v>
      </c>
      <c r="D213" s="984" t="s">
        <v>38</v>
      </c>
      <c r="E213" s="985"/>
      <c r="F213" s="985"/>
      <c r="G213" s="986"/>
      <c r="H213" s="987"/>
      <c r="I213" s="977"/>
      <c r="J213" s="863"/>
      <c r="K213" s="864"/>
      <c r="L213" s="864"/>
      <c r="M213" s="864"/>
      <c r="N213" s="864"/>
      <c r="O213" s="978"/>
      <c r="P213" s="978"/>
      <c r="Q213" s="851"/>
      <c r="R213" s="851"/>
      <c r="S213" s="851"/>
      <c r="T213" s="851"/>
      <c r="U213" s="851"/>
      <c r="V213" s="851"/>
      <c r="W213" s="851"/>
      <c r="X213" s="851"/>
      <c r="Y213" s="851"/>
      <c r="Z213" s="851"/>
    </row>
    <row r="214" spans="1:26" ht="18.75">
      <c r="A214" s="982"/>
      <c r="B214" s="983"/>
      <c r="C214" s="983"/>
      <c r="D214" s="988" t="s">
        <v>106</v>
      </c>
      <c r="E214" s="990"/>
      <c r="F214" s="990"/>
      <c r="G214" s="991"/>
      <c r="H214" s="987" t="s">
        <v>96</v>
      </c>
      <c r="I214" s="863">
        <f ca="1">IFERROR(__xludf.DUMMYFUNCTION("IMPORTRANGE(""https://docs.google.com/spreadsheets/d/1QqKyyYR6Q21VydFLVH3TRQUabQu_ym0Zz7PgGX0-kHA/edit?usp=sharing"",""แผน!AN51"")"),2)</f>
        <v>2</v>
      </c>
      <c r="J214" s="992">
        <v>2</v>
      </c>
      <c r="K214" s="864">
        <f t="shared" ref="K214:K216" ca="1" si="102">IF(I214&gt;0,J214*100/I214,0)</f>
        <v>100</v>
      </c>
      <c r="L214" s="864"/>
      <c r="M214" s="864"/>
      <c r="N214" s="864"/>
      <c r="O214" s="864"/>
      <c r="P214" s="864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</row>
    <row r="215" spans="1:26" ht="18.75">
      <c r="A215" s="982"/>
      <c r="B215" s="983"/>
      <c r="C215" s="983"/>
      <c r="D215" s="988" t="s">
        <v>107</v>
      </c>
      <c r="E215" s="990"/>
      <c r="F215" s="990"/>
      <c r="G215" s="991"/>
      <c r="H215" s="987" t="s">
        <v>96</v>
      </c>
      <c r="I215" s="863">
        <f ca="1">IFERROR(__xludf.DUMMYFUNCTION("IMPORTRANGE(""https://docs.google.com/spreadsheets/d/1QqKyyYR6Q21VydFLVH3TRQUabQu_ym0Zz7PgGX0-kHA/edit?usp=sharing"",""แผน!AN51"")"),2)</f>
        <v>2</v>
      </c>
      <c r="J215" s="992">
        <v>2</v>
      </c>
      <c r="K215" s="864">
        <f t="shared" ca="1" si="102"/>
        <v>100</v>
      </c>
      <c r="L215" s="864"/>
      <c r="M215" s="864"/>
      <c r="N215" s="864"/>
      <c r="O215" s="864"/>
      <c r="P215" s="864"/>
      <c r="Q215" s="851"/>
      <c r="R215" s="851"/>
      <c r="S215" s="851"/>
      <c r="T215" s="851"/>
      <c r="U215" s="851"/>
      <c r="V215" s="851"/>
      <c r="W215" s="851"/>
      <c r="X215" s="851"/>
      <c r="Y215" s="851"/>
      <c r="Z215" s="851"/>
    </row>
    <row r="216" spans="1:26" ht="19.5">
      <c r="A216" s="1044"/>
      <c r="B216" s="1051"/>
      <c r="C216" s="1056" t="s">
        <v>108</v>
      </c>
      <c r="D216" s="1045"/>
      <c r="E216" s="1045"/>
      <c r="F216" s="1070"/>
      <c r="G216" s="1047"/>
      <c r="H216" s="260" t="s">
        <v>109</v>
      </c>
      <c r="I216" s="1057">
        <f t="shared" ref="I216:J216" ca="1" si="103">I224</f>
        <v>30000</v>
      </c>
      <c r="J216" s="1057">
        <f t="shared" si="103"/>
        <v>0</v>
      </c>
      <c r="K216" s="1058">
        <f t="shared" ca="1" si="102"/>
        <v>0</v>
      </c>
      <c r="L216" s="1049"/>
      <c r="M216" s="1049"/>
      <c r="N216" s="1049"/>
      <c r="O216" s="1049"/>
      <c r="P216" s="1049"/>
    </row>
    <row r="217" spans="1:26" ht="19.5">
      <c r="A217" s="965"/>
      <c r="B217" s="966"/>
      <c r="C217" s="967" t="s">
        <v>16</v>
      </c>
      <c r="D217" s="1059" t="s">
        <v>17</v>
      </c>
      <c r="E217" s="966"/>
      <c r="F217" s="966"/>
      <c r="G217" s="969"/>
      <c r="H217" s="275" t="s">
        <v>12</v>
      </c>
      <c r="I217" s="1061"/>
      <c r="J217" s="1061"/>
      <c r="K217" s="1062"/>
      <c r="L217" s="972">
        <f ca="1">L218+L219+L220</f>
        <v>13500</v>
      </c>
      <c r="M217" s="972"/>
      <c r="N217" s="972">
        <f>N218+N219+N220</f>
        <v>0</v>
      </c>
      <c r="O217" s="972">
        <f ca="1">IF(L217&gt;0,N217*100/L217,0)</f>
        <v>0</v>
      </c>
      <c r="P217" s="972">
        <f>IF(M217&gt;0,N217*100/M217,0)</f>
        <v>0</v>
      </c>
      <c r="Q217" s="851"/>
      <c r="R217" s="851"/>
      <c r="S217" s="851"/>
      <c r="T217" s="851"/>
      <c r="U217" s="851"/>
      <c r="V217" s="851"/>
      <c r="W217" s="851"/>
      <c r="X217" s="851"/>
      <c r="Y217" s="851"/>
      <c r="Z217" s="851"/>
    </row>
    <row r="218" spans="1:26" ht="18.75">
      <c r="A218" s="975"/>
      <c r="B218" s="1063"/>
      <c r="C218" s="860"/>
      <c r="D218" s="976" t="s">
        <v>97</v>
      </c>
      <c r="E218" s="860"/>
      <c r="F218" s="860"/>
      <c r="G218" s="862"/>
      <c r="H218" s="161" t="s">
        <v>12</v>
      </c>
      <c r="I218" s="977"/>
      <c r="J218" s="977"/>
      <c r="K218" s="978"/>
      <c r="L218" s="864">
        <f ca="1">IFERROR(__xludf.DUMMYFUNCTION("IMPORTRANGE(""https://docs.google.com/spreadsheets/d/1QqKyyYR6Q21VydFLVH3TRQUabQu_ym0Zz7PgGX0-kHA/edit?usp=sharing"",""แผน!AP51"")"),5000)</f>
        <v>5000</v>
      </c>
      <c r="M218" s="864"/>
      <c r="N218" s="1064">
        <v>0</v>
      </c>
      <c r="O218" s="864"/>
      <c r="P218" s="864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</row>
    <row r="219" spans="1:26" ht="19.5">
      <c r="A219" s="1065"/>
      <c r="B219" s="1063"/>
      <c r="C219" s="1071"/>
      <c r="D219" s="976" t="s">
        <v>110</v>
      </c>
      <c r="E219" s="860"/>
      <c r="F219" s="860"/>
      <c r="G219" s="862"/>
      <c r="H219" s="161" t="s">
        <v>12</v>
      </c>
      <c r="I219" s="863"/>
      <c r="J219" s="863"/>
      <c r="K219" s="864"/>
      <c r="L219" s="864">
        <f ca="1">IFERROR(__xludf.DUMMYFUNCTION("IMPORTRANGE(""https://docs.google.com/spreadsheets/d/1QqKyyYR6Q21VydFLVH3TRQUabQu_ym0Zz7PgGX0-kHA/edit?usp=sharing"",""แผน!AQ51"")"),8500)</f>
        <v>8500</v>
      </c>
      <c r="M219" s="864"/>
      <c r="N219" s="1064">
        <v>0</v>
      </c>
      <c r="O219" s="864"/>
      <c r="P219" s="864"/>
      <c r="Q219" s="1066"/>
      <c r="R219" s="1066"/>
      <c r="S219" s="1066"/>
      <c r="T219" s="1066"/>
      <c r="U219" s="1066"/>
      <c r="V219" s="1066"/>
      <c r="W219" s="1066"/>
      <c r="X219" s="1066"/>
      <c r="Y219" s="1066"/>
      <c r="Z219" s="1066"/>
    </row>
    <row r="220" spans="1:26" ht="19.5">
      <c r="A220" s="1065"/>
      <c r="B220" s="1063"/>
      <c r="C220" s="1071"/>
      <c r="D220" s="976" t="s">
        <v>98</v>
      </c>
      <c r="E220" s="860"/>
      <c r="F220" s="860"/>
      <c r="G220" s="862"/>
      <c r="H220" s="161" t="s">
        <v>12</v>
      </c>
      <c r="I220" s="863"/>
      <c r="J220" s="863"/>
      <c r="K220" s="864"/>
      <c r="L220" s="864">
        <f ca="1">IFERROR(__xludf.DUMMYFUNCTION("IMPORTRANGE(""https://docs.google.com/spreadsheets/d/1QqKyyYR6Q21VydFLVH3TRQUabQu_ym0Zz7PgGX0-kHA/edit?usp=sharing"",""แผน!AR51"")"),0)</f>
        <v>0</v>
      </c>
      <c r="M220" s="864"/>
      <c r="N220" s="1064">
        <v>0</v>
      </c>
      <c r="O220" s="864"/>
      <c r="P220" s="864"/>
      <c r="Q220" s="1066"/>
      <c r="R220" s="1066"/>
      <c r="S220" s="1066"/>
      <c r="T220" s="1066"/>
      <c r="U220" s="1066"/>
      <c r="V220" s="1066"/>
      <c r="W220" s="1066"/>
      <c r="X220" s="1066"/>
      <c r="Y220" s="1066"/>
      <c r="Z220" s="1066"/>
    </row>
    <row r="221" spans="1:26" ht="19.5">
      <c r="A221" s="982"/>
      <c r="B221" s="983"/>
      <c r="C221" s="1071" t="s">
        <v>16</v>
      </c>
      <c r="D221" s="984" t="s">
        <v>38</v>
      </c>
      <c r="E221" s="985"/>
      <c r="F221" s="985"/>
      <c r="G221" s="986"/>
      <c r="H221" s="987"/>
      <c r="I221" s="977"/>
      <c r="J221" s="977"/>
      <c r="K221" s="978"/>
      <c r="L221" s="978"/>
      <c r="M221" s="978"/>
      <c r="N221" s="978"/>
      <c r="O221" s="978"/>
      <c r="P221" s="978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</row>
    <row r="222" spans="1:26" ht="18.75">
      <c r="A222" s="982"/>
      <c r="B222" s="983"/>
      <c r="C222" s="983"/>
      <c r="D222" s="976" t="s">
        <v>111</v>
      </c>
      <c r="E222" s="990"/>
      <c r="F222" s="990"/>
      <c r="G222" s="991"/>
      <c r="H222" s="987"/>
      <c r="I222" s="863"/>
      <c r="J222" s="863"/>
      <c r="K222" s="978"/>
      <c r="L222" s="978"/>
      <c r="M222" s="978"/>
      <c r="N222" s="978"/>
      <c r="O222" s="978"/>
      <c r="P222" s="978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</row>
    <row r="223" spans="1:26" ht="18.75">
      <c r="A223" s="982"/>
      <c r="B223" s="983"/>
      <c r="C223" s="983"/>
      <c r="D223" s="983"/>
      <c r="E223" s="988" t="s">
        <v>112</v>
      </c>
      <c r="F223" s="990"/>
      <c r="G223" s="991"/>
      <c r="H223" s="757" t="s">
        <v>109</v>
      </c>
      <c r="I223" s="863">
        <f ca="1">IFERROR(__xludf.DUMMYFUNCTION("IMPORTRANGE(""https://docs.google.com/spreadsheets/d/1QqKyyYR6Q21VydFLVH3TRQUabQu_ym0Zz7PgGX0-kHA/edit?usp=sharing"",""แผน!AT51"")"),30000)</f>
        <v>30000</v>
      </c>
      <c r="J223" s="992">
        <v>30000</v>
      </c>
      <c r="K223" s="978">
        <f t="shared" ref="K223:K226" ca="1" si="104">IF(I223&gt;0,J223*100/I223,0)</f>
        <v>100</v>
      </c>
      <c r="L223" s="978"/>
      <c r="M223" s="978"/>
      <c r="N223" s="978"/>
      <c r="O223" s="978"/>
      <c r="P223" s="978"/>
      <c r="Q223" s="851"/>
      <c r="R223" s="851"/>
      <c r="S223" s="851"/>
      <c r="T223" s="851"/>
      <c r="U223" s="851"/>
      <c r="V223" s="851"/>
      <c r="W223" s="851"/>
      <c r="X223" s="851"/>
      <c r="Y223" s="851"/>
      <c r="Z223" s="851"/>
    </row>
    <row r="224" spans="1:26" ht="18.75">
      <c r="A224" s="982"/>
      <c r="B224" s="983"/>
      <c r="C224" s="983"/>
      <c r="D224" s="983"/>
      <c r="E224" s="988" t="s">
        <v>113</v>
      </c>
      <c r="F224" s="990"/>
      <c r="G224" s="991"/>
      <c r="H224" s="757" t="s">
        <v>109</v>
      </c>
      <c r="I224" s="863">
        <f ca="1">IFERROR(__xludf.DUMMYFUNCTION("IMPORTRANGE(""https://docs.google.com/spreadsheets/d/1QqKyyYR6Q21VydFLVH3TRQUabQu_ym0Zz7PgGX0-kHA/edit?usp=sharing"",""แผน!AT51"")"),30000)</f>
        <v>30000</v>
      </c>
      <c r="J224" s="992">
        <v>0</v>
      </c>
      <c r="K224" s="978">
        <f t="shared" ca="1" si="104"/>
        <v>0</v>
      </c>
      <c r="L224" s="864"/>
      <c r="M224" s="864"/>
      <c r="N224" s="864"/>
      <c r="O224" s="864"/>
      <c r="P224" s="864"/>
      <c r="Q224" s="851"/>
      <c r="R224" s="851"/>
      <c r="S224" s="851"/>
      <c r="T224" s="851"/>
      <c r="U224" s="851"/>
      <c r="V224" s="851"/>
      <c r="W224" s="851"/>
      <c r="X224" s="851"/>
      <c r="Y224" s="851"/>
      <c r="Z224" s="851"/>
    </row>
    <row r="225" spans="1:26" ht="18.75">
      <c r="A225" s="982"/>
      <c r="B225" s="983"/>
      <c r="C225" s="983"/>
      <c r="D225" s="976" t="s">
        <v>114</v>
      </c>
      <c r="E225" s="990"/>
      <c r="F225" s="990"/>
      <c r="G225" s="991"/>
      <c r="H225" s="757" t="s">
        <v>35</v>
      </c>
      <c r="I225" s="863">
        <f ca="1">IFERROR(__xludf.DUMMYFUNCTION("IMPORTRANGE(""https://docs.google.com/spreadsheets/d/1QqKyyYR6Q21VydFLVH3TRQUabQu_ym0Zz7PgGX0-kHA/edit?usp=sharing"",""แผน!AS51"")"),0)</f>
        <v>0</v>
      </c>
      <c r="J225" s="992">
        <v>0</v>
      </c>
      <c r="K225" s="978">
        <f t="shared" ca="1" si="104"/>
        <v>0</v>
      </c>
      <c r="L225" s="864"/>
      <c r="M225" s="864"/>
      <c r="N225" s="864"/>
      <c r="O225" s="864"/>
      <c r="P225" s="864"/>
      <c r="Q225" s="851"/>
      <c r="R225" s="851"/>
      <c r="S225" s="851"/>
      <c r="T225" s="851"/>
      <c r="U225" s="851"/>
      <c r="V225" s="851"/>
      <c r="W225" s="851"/>
      <c r="X225" s="851"/>
      <c r="Y225" s="851"/>
      <c r="Z225" s="851"/>
    </row>
    <row r="226" spans="1:26" ht="19.5" hidden="1">
      <c r="A226" s="1044"/>
      <c r="B226" s="1051"/>
      <c r="C226" s="1072" t="s">
        <v>120</v>
      </c>
      <c r="D226" s="1045"/>
      <c r="E226" s="1045"/>
      <c r="F226" s="1045"/>
      <c r="G226" s="1047"/>
      <c r="H226" s="266" t="s">
        <v>35</v>
      </c>
      <c r="I226" s="1073">
        <f t="shared" ref="I226:J226" ca="1" si="105">I237+I248</f>
        <v>40</v>
      </c>
      <c r="J226" s="1073">
        <f t="shared" si="105"/>
        <v>40</v>
      </c>
      <c r="K226" s="1074">
        <f t="shared" ca="1" si="104"/>
        <v>100</v>
      </c>
      <c r="L226" s="1049"/>
      <c r="M226" s="1049"/>
      <c r="N226" s="1049"/>
      <c r="O226" s="1049"/>
      <c r="P226" s="1049"/>
    </row>
    <row r="227" spans="1:26" ht="19.5" hidden="1">
      <c r="A227" s="1075"/>
      <c r="B227" s="1076"/>
      <c r="C227" s="1077" t="s">
        <v>16</v>
      </c>
      <c r="D227" s="1078" t="s">
        <v>17</v>
      </c>
      <c r="E227" s="1076"/>
      <c r="F227" s="1076"/>
      <c r="G227" s="1079"/>
      <c r="H227" s="353" t="s">
        <v>12</v>
      </c>
      <c r="I227" s="1080"/>
      <c r="J227" s="1080"/>
      <c r="K227" s="1081"/>
      <c r="L227" s="1082">
        <f t="shared" ref="L227:L231" ca="1" si="106">L238+L249</f>
        <v>217400</v>
      </c>
      <c r="M227" s="1082"/>
      <c r="N227" s="1082">
        <f t="shared" ref="N227:N231" si="107">N238+N249</f>
        <v>66000</v>
      </c>
      <c r="O227" s="1083"/>
      <c r="P227" s="1083"/>
      <c r="Q227" s="858"/>
      <c r="R227" s="858"/>
      <c r="S227" s="858"/>
      <c r="T227" s="858"/>
      <c r="U227" s="858"/>
      <c r="V227" s="858"/>
      <c r="W227" s="858"/>
      <c r="X227" s="858"/>
      <c r="Y227" s="858"/>
      <c r="Z227" s="858"/>
    </row>
    <row r="228" spans="1:26" ht="18.75" hidden="1">
      <c r="A228" s="973"/>
      <c r="B228" s="1084"/>
      <c r="C228" s="866"/>
      <c r="D228" s="867" t="s">
        <v>97</v>
      </c>
      <c r="E228" s="866"/>
      <c r="F228" s="866"/>
      <c r="G228" s="868"/>
      <c r="H228" s="165" t="s">
        <v>12</v>
      </c>
      <c r="I228" s="980"/>
      <c r="J228" s="980"/>
      <c r="K228" s="981"/>
      <c r="L228" s="870">
        <f t="shared" ca="1" si="106"/>
        <v>163000</v>
      </c>
      <c r="M228" s="870"/>
      <c r="N228" s="870">
        <f t="shared" si="107"/>
        <v>22000</v>
      </c>
      <c r="O228" s="870"/>
      <c r="P228" s="870"/>
      <c r="Q228" s="858"/>
      <c r="R228" s="858"/>
      <c r="S228" s="858"/>
      <c r="T228" s="858"/>
      <c r="U228" s="858"/>
      <c r="V228" s="858"/>
      <c r="W228" s="858"/>
      <c r="X228" s="858"/>
      <c r="Y228" s="858"/>
      <c r="Z228" s="858"/>
    </row>
    <row r="229" spans="1:26" ht="19.5" hidden="1">
      <c r="A229" s="1085"/>
      <c r="B229" s="1084"/>
      <c r="C229" s="1086"/>
      <c r="D229" s="867" t="s">
        <v>98</v>
      </c>
      <c r="E229" s="866"/>
      <c r="F229" s="866"/>
      <c r="G229" s="868"/>
      <c r="H229" s="165" t="s">
        <v>12</v>
      </c>
      <c r="I229" s="869"/>
      <c r="J229" s="869"/>
      <c r="K229" s="870"/>
      <c r="L229" s="870">
        <f t="shared" ca="1" si="106"/>
        <v>44400</v>
      </c>
      <c r="M229" s="870"/>
      <c r="N229" s="870">
        <f t="shared" si="107"/>
        <v>44000</v>
      </c>
      <c r="O229" s="870"/>
      <c r="P229" s="870"/>
      <c r="Q229" s="1087"/>
      <c r="R229" s="1087"/>
      <c r="S229" s="1087"/>
      <c r="T229" s="1087"/>
      <c r="U229" s="1087"/>
      <c r="V229" s="1087"/>
      <c r="W229" s="1087"/>
      <c r="X229" s="1087"/>
      <c r="Y229" s="1087"/>
      <c r="Z229" s="1087"/>
    </row>
    <row r="230" spans="1:26" ht="19.5" hidden="1">
      <c r="A230" s="1085"/>
      <c r="B230" s="1084"/>
      <c r="C230" s="1086"/>
      <c r="D230" s="867" t="s">
        <v>116</v>
      </c>
      <c r="E230" s="866"/>
      <c r="F230" s="866"/>
      <c r="G230" s="868"/>
      <c r="H230" s="165" t="s">
        <v>12</v>
      </c>
      <c r="I230" s="869"/>
      <c r="J230" s="869"/>
      <c r="K230" s="870"/>
      <c r="L230" s="870">
        <f t="shared" ca="1" si="106"/>
        <v>0</v>
      </c>
      <c r="M230" s="870"/>
      <c r="N230" s="870">
        <f t="shared" si="107"/>
        <v>0</v>
      </c>
      <c r="O230" s="870"/>
      <c r="P230" s="870"/>
      <c r="Q230" s="1087"/>
      <c r="R230" s="1087"/>
      <c r="S230" s="1087"/>
      <c r="T230" s="1087"/>
      <c r="U230" s="1087"/>
      <c r="V230" s="1087"/>
      <c r="W230" s="1087"/>
      <c r="X230" s="1087"/>
      <c r="Y230" s="1087"/>
      <c r="Z230" s="1087"/>
    </row>
    <row r="231" spans="1:26" ht="19.5" hidden="1">
      <c r="A231" s="1085"/>
      <c r="B231" s="1084"/>
      <c r="C231" s="1086"/>
      <c r="D231" s="867" t="s">
        <v>100</v>
      </c>
      <c r="E231" s="866"/>
      <c r="F231" s="866"/>
      <c r="G231" s="868"/>
      <c r="H231" s="165" t="s">
        <v>12</v>
      </c>
      <c r="I231" s="869"/>
      <c r="J231" s="869"/>
      <c r="K231" s="870"/>
      <c r="L231" s="870">
        <f t="shared" ca="1" si="106"/>
        <v>10000</v>
      </c>
      <c r="M231" s="870"/>
      <c r="N231" s="870">
        <f t="shared" si="107"/>
        <v>0</v>
      </c>
      <c r="O231" s="870"/>
      <c r="P231" s="870"/>
      <c r="Q231" s="1087"/>
      <c r="R231" s="1087"/>
      <c r="S231" s="1087"/>
      <c r="T231" s="1087"/>
      <c r="U231" s="1087"/>
      <c r="V231" s="1087"/>
      <c r="W231" s="1087"/>
      <c r="X231" s="1087"/>
      <c r="Y231" s="1087"/>
      <c r="Z231" s="1087"/>
    </row>
    <row r="232" spans="1:26" ht="19.5" hidden="1">
      <c r="A232" s="1088"/>
      <c r="B232" s="1089"/>
      <c r="C232" s="1086" t="s">
        <v>16</v>
      </c>
      <c r="D232" s="1053" t="s">
        <v>38</v>
      </c>
      <c r="E232" s="1090"/>
      <c r="F232" s="1090"/>
      <c r="G232" s="1091"/>
      <c r="H232" s="1092"/>
      <c r="I232" s="980"/>
      <c r="J232" s="869"/>
      <c r="K232" s="870"/>
      <c r="L232" s="870"/>
      <c r="M232" s="870"/>
      <c r="N232" s="870"/>
      <c r="O232" s="981"/>
      <c r="P232" s="981"/>
      <c r="Q232" s="858"/>
      <c r="R232" s="858"/>
      <c r="S232" s="858"/>
      <c r="T232" s="858"/>
      <c r="U232" s="858"/>
      <c r="V232" s="858"/>
      <c r="W232" s="858"/>
      <c r="X232" s="858"/>
      <c r="Y232" s="858"/>
      <c r="Z232" s="858"/>
    </row>
    <row r="233" spans="1:26" ht="18.75" hidden="1">
      <c r="A233" s="1088"/>
      <c r="B233" s="1089"/>
      <c r="C233" s="1089"/>
      <c r="D233" s="1055" t="s">
        <v>117</v>
      </c>
      <c r="E233" s="1093"/>
      <c r="F233" s="1093"/>
      <c r="G233" s="1094"/>
      <c r="H233" s="370" t="s">
        <v>35</v>
      </c>
      <c r="I233" s="869">
        <f t="shared" ref="I233:J233" ca="1" si="108">I244+I255</f>
        <v>40</v>
      </c>
      <c r="J233" s="869">
        <f t="shared" si="108"/>
        <v>40</v>
      </c>
      <c r="K233" s="870">
        <f ca="1">IF(I233&gt;0,J233*100/I233,0)</f>
        <v>100</v>
      </c>
      <c r="L233" s="870"/>
      <c r="M233" s="870"/>
      <c r="N233" s="870"/>
      <c r="O233" s="870"/>
      <c r="P233" s="870"/>
      <c r="Q233" s="858"/>
      <c r="R233" s="858"/>
      <c r="S233" s="858"/>
      <c r="T233" s="858"/>
      <c r="U233" s="858"/>
      <c r="V233" s="858"/>
      <c r="W233" s="858"/>
      <c r="X233" s="858"/>
      <c r="Y233" s="858"/>
      <c r="Z233" s="858"/>
    </row>
    <row r="234" spans="1:26" ht="18.75" hidden="1">
      <c r="A234" s="1088"/>
      <c r="B234" s="1089"/>
      <c r="C234" s="1089"/>
      <c r="D234" s="1095" t="s">
        <v>43</v>
      </c>
      <c r="E234" s="1093"/>
      <c r="F234" s="1093"/>
      <c r="G234" s="1094"/>
      <c r="H234" s="370"/>
      <c r="I234" s="869"/>
      <c r="J234" s="869"/>
      <c r="K234" s="870"/>
      <c r="L234" s="870"/>
      <c r="M234" s="870"/>
      <c r="N234" s="870"/>
      <c r="O234" s="981"/>
      <c r="P234" s="981"/>
      <c r="Q234" s="858"/>
      <c r="R234" s="858"/>
      <c r="S234" s="858"/>
      <c r="T234" s="858"/>
      <c r="U234" s="858"/>
      <c r="V234" s="858"/>
      <c r="W234" s="858"/>
      <c r="X234" s="858"/>
      <c r="Y234" s="858"/>
      <c r="Z234" s="858"/>
    </row>
    <row r="235" spans="1:26" ht="18.75" hidden="1">
      <c r="A235" s="1088"/>
      <c r="B235" s="1089"/>
      <c r="C235" s="1089"/>
      <c r="D235" s="1089"/>
      <c r="E235" s="1054" t="s">
        <v>118</v>
      </c>
      <c r="F235" s="1093"/>
      <c r="G235" s="1094"/>
      <c r="H235" s="370" t="s">
        <v>35</v>
      </c>
      <c r="I235" s="869">
        <f t="shared" ref="I235:J236" si="109">I246+I257</f>
        <v>0</v>
      </c>
      <c r="J235" s="869">
        <f t="shared" si="109"/>
        <v>0</v>
      </c>
      <c r="K235" s="870">
        <f t="shared" ref="K235:K237" si="110">IF(I235&gt;0,J235*100/I235,0)</f>
        <v>0</v>
      </c>
      <c r="L235" s="870"/>
      <c r="M235" s="870"/>
      <c r="N235" s="870"/>
      <c r="O235" s="870"/>
      <c r="P235" s="870"/>
      <c r="Q235" s="858"/>
      <c r="R235" s="858"/>
      <c r="S235" s="858"/>
      <c r="T235" s="858"/>
      <c r="U235" s="858"/>
      <c r="V235" s="858"/>
      <c r="W235" s="858"/>
      <c r="X235" s="858"/>
      <c r="Y235" s="858"/>
      <c r="Z235" s="858"/>
    </row>
    <row r="236" spans="1:26" ht="18.75" hidden="1">
      <c r="A236" s="1088"/>
      <c r="B236" s="1089"/>
      <c r="C236" s="1089"/>
      <c r="D236" s="1089"/>
      <c r="E236" s="1054" t="s">
        <v>119</v>
      </c>
      <c r="F236" s="1093"/>
      <c r="G236" s="1094"/>
      <c r="H236" s="370" t="s">
        <v>66</v>
      </c>
      <c r="I236" s="869">
        <f t="shared" si="109"/>
        <v>1</v>
      </c>
      <c r="J236" s="869">
        <f t="shared" si="109"/>
        <v>0</v>
      </c>
      <c r="K236" s="870">
        <f t="shared" si="110"/>
        <v>0</v>
      </c>
      <c r="L236" s="870"/>
      <c r="M236" s="870"/>
      <c r="N236" s="870"/>
      <c r="O236" s="870"/>
      <c r="P236" s="870"/>
      <c r="Q236" s="858"/>
      <c r="R236" s="858"/>
      <c r="S236" s="858"/>
      <c r="T236" s="858"/>
      <c r="U236" s="858"/>
      <c r="V236" s="858"/>
      <c r="W236" s="858"/>
      <c r="X236" s="858"/>
      <c r="Y236" s="858"/>
      <c r="Z236" s="858"/>
    </row>
    <row r="237" spans="1:26" ht="19.5">
      <c r="A237" s="1044"/>
      <c r="B237" s="1051"/>
      <c r="C237" s="1056" t="s">
        <v>357</v>
      </c>
      <c r="D237" s="1045"/>
      <c r="E237" s="1045"/>
      <c r="F237" s="1045"/>
      <c r="G237" s="1047"/>
      <c r="H237" s="260" t="s">
        <v>35</v>
      </c>
      <c r="I237" s="1057">
        <f t="shared" ref="I237:J237" ca="1" si="111">I244</f>
        <v>40</v>
      </c>
      <c r="J237" s="1057">
        <f t="shared" si="111"/>
        <v>40</v>
      </c>
      <c r="K237" s="1058">
        <f t="shared" ca="1" si="110"/>
        <v>100</v>
      </c>
      <c r="L237" s="1049"/>
      <c r="M237" s="1049"/>
      <c r="N237" s="1049"/>
      <c r="O237" s="1049"/>
      <c r="P237" s="1049"/>
    </row>
    <row r="238" spans="1:26" ht="19.5">
      <c r="A238" s="965"/>
      <c r="B238" s="966"/>
      <c r="C238" s="967" t="s">
        <v>16</v>
      </c>
      <c r="D238" s="968" t="s">
        <v>17</v>
      </c>
      <c r="E238" s="966"/>
      <c r="F238" s="966"/>
      <c r="G238" s="969"/>
      <c r="H238" s="275" t="s">
        <v>12</v>
      </c>
      <c r="I238" s="1061"/>
      <c r="J238" s="1061"/>
      <c r="K238" s="1062"/>
      <c r="L238" s="972">
        <f ca="1">L239+L240+L241+L242</f>
        <v>217400</v>
      </c>
      <c r="M238" s="972"/>
      <c r="N238" s="972">
        <f>N239+N240+N241+N242</f>
        <v>66000</v>
      </c>
      <c r="O238" s="972">
        <f ca="1">IF(L238&gt;0,N238*100/L238,0)</f>
        <v>30.358785648574056</v>
      </c>
      <c r="P238" s="972">
        <f>IF(M238&gt;0,N238*100/M238,0)</f>
        <v>0</v>
      </c>
      <c r="Q238" s="851"/>
      <c r="R238" s="851"/>
      <c r="S238" s="851"/>
      <c r="T238" s="851"/>
      <c r="U238" s="851"/>
      <c r="V238" s="851"/>
      <c r="W238" s="851"/>
      <c r="X238" s="851"/>
      <c r="Y238" s="851"/>
      <c r="Z238" s="851"/>
    </row>
    <row r="239" spans="1:26" ht="18.75">
      <c r="A239" s="1096"/>
      <c r="B239" s="1097"/>
      <c r="C239" s="1098"/>
      <c r="D239" s="1099" t="s">
        <v>97</v>
      </c>
      <c r="E239" s="1098"/>
      <c r="F239" s="1098"/>
      <c r="G239" s="1100"/>
      <c r="H239" s="319" t="s">
        <v>12</v>
      </c>
      <c r="I239" s="1101"/>
      <c r="J239" s="1101"/>
      <c r="K239" s="1102"/>
      <c r="L239" s="1103">
        <f ca="1">IFERROR(__xludf.DUMMYFUNCTION("IMPORTRANGE(""https://docs.google.com/spreadsheets/d/1QqKyyYR6Q21VydFLVH3TRQUabQu_ym0Zz7PgGX0-kHA/edit?usp=sharing"",""แผน!AV51"")"),163000)</f>
        <v>163000</v>
      </c>
      <c r="M239" s="1103"/>
      <c r="N239" s="1104">
        <v>22000</v>
      </c>
      <c r="O239" s="1103"/>
      <c r="P239" s="1103"/>
      <c r="Q239" s="1105"/>
      <c r="R239" s="1105"/>
      <c r="S239" s="1105"/>
      <c r="T239" s="1105"/>
      <c r="U239" s="1105"/>
      <c r="V239" s="1105"/>
      <c r="W239" s="1105"/>
      <c r="X239" s="1105"/>
      <c r="Y239" s="1105"/>
      <c r="Z239" s="1105"/>
    </row>
    <row r="240" spans="1:26" ht="19.5">
      <c r="A240" s="1106"/>
      <c r="B240" s="1097"/>
      <c r="C240" s="1107"/>
      <c r="D240" s="1099" t="s">
        <v>98</v>
      </c>
      <c r="E240" s="1098"/>
      <c r="F240" s="1098"/>
      <c r="G240" s="1100"/>
      <c r="H240" s="319" t="s">
        <v>12</v>
      </c>
      <c r="I240" s="1108"/>
      <c r="J240" s="1108"/>
      <c r="K240" s="1103"/>
      <c r="L240" s="1103">
        <f ca="1">IFERROR(__xludf.DUMMYFUNCTION("IMPORTRANGE(""https://docs.google.com/spreadsheets/d/1QqKyyYR6Q21VydFLVH3TRQUabQu_ym0Zz7PgGX0-kHA/edit?usp=sharing"",""แผน!AW51"")"),44400)</f>
        <v>44400</v>
      </c>
      <c r="M240" s="1103"/>
      <c r="N240" s="1104">
        <v>44000</v>
      </c>
      <c r="O240" s="1103"/>
      <c r="P240" s="1103"/>
      <c r="Q240" s="1109"/>
      <c r="R240" s="1109"/>
      <c r="S240" s="1109"/>
      <c r="T240" s="1109"/>
      <c r="U240" s="1109"/>
      <c r="V240" s="1109"/>
      <c r="W240" s="1109"/>
      <c r="X240" s="1109"/>
      <c r="Y240" s="1109"/>
      <c r="Z240" s="1109"/>
    </row>
    <row r="241" spans="1:26" ht="19.5">
      <c r="A241" s="1106"/>
      <c r="B241" s="1097"/>
      <c r="C241" s="1107"/>
      <c r="D241" s="1099" t="s">
        <v>116</v>
      </c>
      <c r="E241" s="1098"/>
      <c r="F241" s="1098"/>
      <c r="G241" s="1100"/>
      <c r="H241" s="319" t="s">
        <v>12</v>
      </c>
      <c r="I241" s="1108"/>
      <c r="J241" s="1108"/>
      <c r="K241" s="1103"/>
      <c r="L241" s="1103">
        <f ca="1">IFERROR(__xludf.DUMMYFUNCTION("IMPORTRANGE(""https://docs.google.com/spreadsheets/d/1QqKyyYR6Q21VydFLVH3TRQUabQu_ym0Zz7PgGX0-kHA/edit?usp=sharing"",""แผน!AX51"")"),0)</f>
        <v>0</v>
      </c>
      <c r="M241" s="1103"/>
      <c r="N241" s="1104">
        <v>0</v>
      </c>
      <c r="O241" s="1103"/>
      <c r="P241" s="1103"/>
      <c r="Q241" s="1109"/>
      <c r="R241" s="1109"/>
      <c r="S241" s="1109"/>
      <c r="T241" s="1109"/>
      <c r="U241" s="1109"/>
      <c r="V241" s="1109"/>
      <c r="W241" s="1109"/>
      <c r="X241" s="1109"/>
      <c r="Y241" s="1109"/>
      <c r="Z241" s="1109"/>
    </row>
    <row r="242" spans="1:26" ht="19.5">
      <c r="A242" s="1106"/>
      <c r="B242" s="1097"/>
      <c r="C242" s="1107"/>
      <c r="D242" s="1099" t="s">
        <v>100</v>
      </c>
      <c r="E242" s="1098"/>
      <c r="F242" s="1098"/>
      <c r="G242" s="1100"/>
      <c r="H242" s="319" t="s">
        <v>12</v>
      </c>
      <c r="I242" s="1108"/>
      <c r="J242" s="1108"/>
      <c r="K242" s="1103"/>
      <c r="L242" s="1103">
        <f ca="1">IFERROR(__xludf.DUMMYFUNCTION("IMPORTRANGE(""https://docs.google.com/spreadsheets/d/1QqKyyYR6Q21VydFLVH3TRQUabQu_ym0Zz7PgGX0-kHA/edit?usp=sharing"",""แผน!AY51"")"),10000)</f>
        <v>10000</v>
      </c>
      <c r="M242" s="1103"/>
      <c r="N242" s="1104">
        <v>0</v>
      </c>
      <c r="O242" s="1103"/>
      <c r="P242" s="1103"/>
      <c r="Q242" s="1109"/>
      <c r="R242" s="1109"/>
      <c r="S242" s="1109"/>
      <c r="T242" s="1109"/>
      <c r="U242" s="1109"/>
      <c r="V242" s="1109"/>
      <c r="W242" s="1109"/>
      <c r="X242" s="1109"/>
      <c r="Y242" s="1109"/>
      <c r="Z242" s="1109"/>
    </row>
    <row r="243" spans="1:26" ht="19.5">
      <c r="A243" s="982"/>
      <c r="B243" s="983"/>
      <c r="C243" s="1071" t="s">
        <v>16</v>
      </c>
      <c r="D243" s="984" t="s">
        <v>38</v>
      </c>
      <c r="E243" s="985"/>
      <c r="F243" s="985"/>
      <c r="G243" s="986"/>
      <c r="H243" s="987"/>
      <c r="I243" s="977"/>
      <c r="J243" s="863"/>
      <c r="K243" s="864"/>
      <c r="L243" s="864"/>
      <c r="M243" s="864"/>
      <c r="N243" s="864"/>
      <c r="O243" s="978"/>
      <c r="P243" s="978"/>
      <c r="Q243" s="851"/>
      <c r="R243" s="851"/>
      <c r="S243" s="851"/>
      <c r="T243" s="851"/>
      <c r="U243" s="851"/>
      <c r="V243" s="851"/>
      <c r="W243" s="851"/>
      <c r="X243" s="851"/>
      <c r="Y243" s="851"/>
      <c r="Z243" s="851"/>
    </row>
    <row r="244" spans="1:26" ht="18.75">
      <c r="A244" s="982"/>
      <c r="B244" s="983"/>
      <c r="C244" s="983"/>
      <c r="D244" s="989" t="s">
        <v>117</v>
      </c>
      <c r="E244" s="990"/>
      <c r="F244" s="990"/>
      <c r="G244" s="991"/>
      <c r="H244" s="757" t="s">
        <v>35</v>
      </c>
      <c r="I244" s="863">
        <f ca="1">IFERROR(__xludf.DUMMYFUNCTION("IMPORTRANGE(""https://docs.google.com/spreadsheets/d/1QqKyyYR6Q21VydFLVH3TRQUabQu_ym0Zz7PgGX0-kHA/edit?usp=sharing"",""แผน!BE51"")"),40)</f>
        <v>40</v>
      </c>
      <c r="J244" s="992">
        <v>40</v>
      </c>
      <c r="K244" s="864">
        <f ca="1">IF(I244&gt;0,J244*100/I244,0)</f>
        <v>100</v>
      </c>
      <c r="L244" s="864"/>
      <c r="M244" s="864"/>
      <c r="N244" s="864"/>
      <c r="O244" s="864"/>
      <c r="P244" s="864"/>
      <c r="Q244" s="851"/>
      <c r="R244" s="851"/>
      <c r="S244" s="851"/>
      <c r="T244" s="851"/>
      <c r="U244" s="851"/>
      <c r="V244" s="851"/>
      <c r="W244" s="851"/>
      <c r="X244" s="851"/>
      <c r="Y244" s="851"/>
      <c r="Z244" s="851"/>
    </row>
    <row r="245" spans="1:26" ht="18.75">
      <c r="A245" s="982"/>
      <c r="B245" s="983"/>
      <c r="C245" s="983"/>
      <c r="D245" s="1110" t="s">
        <v>43</v>
      </c>
      <c r="E245" s="990"/>
      <c r="F245" s="990"/>
      <c r="G245" s="991"/>
      <c r="H245" s="757"/>
      <c r="I245" s="863"/>
      <c r="J245" s="863"/>
      <c r="K245" s="864"/>
      <c r="L245" s="864"/>
      <c r="M245" s="864"/>
      <c r="N245" s="864"/>
      <c r="O245" s="978"/>
      <c r="P245" s="978"/>
      <c r="Q245" s="851"/>
      <c r="R245" s="851"/>
      <c r="S245" s="851"/>
      <c r="T245" s="851"/>
      <c r="U245" s="851"/>
      <c r="V245" s="851"/>
      <c r="W245" s="851"/>
      <c r="X245" s="851"/>
      <c r="Y245" s="851"/>
      <c r="Z245" s="851"/>
    </row>
    <row r="246" spans="1:26" ht="18.75">
      <c r="A246" s="982"/>
      <c r="B246" s="983"/>
      <c r="C246" s="983"/>
      <c r="D246" s="983"/>
      <c r="E246" s="988" t="s">
        <v>118</v>
      </c>
      <c r="F246" s="990"/>
      <c r="G246" s="991"/>
      <c r="H246" s="757" t="s">
        <v>35</v>
      </c>
      <c r="I246" s="863">
        <v>0</v>
      </c>
      <c r="J246" s="992">
        <v>0</v>
      </c>
      <c r="K246" s="864">
        <f t="shared" ref="K246:K248" si="112">IF(I246&gt;0,J246*100/I246,0)</f>
        <v>0</v>
      </c>
      <c r="L246" s="864"/>
      <c r="M246" s="864"/>
      <c r="N246" s="864"/>
      <c r="O246" s="864"/>
      <c r="P246" s="864"/>
      <c r="Q246" s="851"/>
      <c r="R246" s="851"/>
      <c r="S246" s="851"/>
      <c r="T246" s="851"/>
      <c r="U246" s="851"/>
      <c r="V246" s="851"/>
      <c r="W246" s="851"/>
      <c r="X246" s="851"/>
      <c r="Y246" s="851"/>
      <c r="Z246" s="851"/>
    </row>
    <row r="247" spans="1:26" ht="18.75">
      <c r="A247" s="982"/>
      <c r="B247" s="983"/>
      <c r="C247" s="983"/>
      <c r="D247" s="983"/>
      <c r="E247" s="988" t="s">
        <v>119</v>
      </c>
      <c r="F247" s="990"/>
      <c r="G247" s="991"/>
      <c r="H247" s="757" t="s">
        <v>66</v>
      </c>
      <c r="I247" s="863">
        <v>1</v>
      </c>
      <c r="J247" s="992">
        <v>0</v>
      </c>
      <c r="K247" s="864">
        <f t="shared" si="112"/>
        <v>0</v>
      </c>
      <c r="L247" s="864"/>
      <c r="M247" s="864"/>
      <c r="N247" s="864"/>
      <c r="O247" s="864"/>
      <c r="P247" s="864"/>
      <c r="Q247" s="851"/>
      <c r="R247" s="851"/>
      <c r="S247" s="851"/>
      <c r="T247" s="851"/>
      <c r="U247" s="851"/>
      <c r="V247" s="851"/>
      <c r="W247" s="851"/>
      <c r="X247" s="851"/>
      <c r="Y247" s="851"/>
      <c r="Z247" s="851"/>
    </row>
    <row r="248" spans="1:26" ht="19.5" hidden="1">
      <c r="A248" s="1480"/>
      <c r="B248" s="1481"/>
      <c r="C248" s="1072" t="s">
        <v>358</v>
      </c>
      <c r="D248" s="1482"/>
      <c r="E248" s="1482"/>
      <c r="F248" s="1482"/>
      <c r="G248" s="1483"/>
      <c r="H248" s="266" t="s">
        <v>35</v>
      </c>
      <c r="I248" s="1073">
        <f t="shared" ref="I248:J248" ca="1" si="113">I255</f>
        <v>0</v>
      </c>
      <c r="J248" s="1073">
        <f t="shared" si="113"/>
        <v>0</v>
      </c>
      <c r="K248" s="1074">
        <f t="shared" ca="1" si="112"/>
        <v>0</v>
      </c>
      <c r="L248" s="1484"/>
      <c r="M248" s="1484"/>
      <c r="N248" s="1484"/>
      <c r="O248" s="1484"/>
      <c r="P248" s="1484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1075"/>
      <c r="B249" s="1076"/>
      <c r="C249" s="1077" t="s">
        <v>16</v>
      </c>
      <c r="D249" s="1485" t="s">
        <v>17</v>
      </c>
      <c r="E249" s="1076"/>
      <c r="F249" s="1076"/>
      <c r="G249" s="1079"/>
      <c r="H249" s="353" t="s">
        <v>12</v>
      </c>
      <c r="I249" s="1080"/>
      <c r="J249" s="1080"/>
      <c r="K249" s="1081"/>
      <c r="L249" s="1082">
        <f ca="1">L250+L251+L252+L253</f>
        <v>0</v>
      </c>
      <c r="M249" s="1082"/>
      <c r="N249" s="1082">
        <f>N250+N251+N252+N253</f>
        <v>0</v>
      </c>
      <c r="O249" s="1082">
        <f ca="1">IF(L249&gt;0,N249*100/L249,0)</f>
        <v>0</v>
      </c>
      <c r="P249" s="1082">
        <f>IF(M249&gt;0,N249*100/M249,0)</f>
        <v>0</v>
      </c>
      <c r="Q249" s="858"/>
      <c r="R249" s="858"/>
      <c r="S249" s="858"/>
      <c r="T249" s="858"/>
      <c r="U249" s="858"/>
      <c r="V249" s="858"/>
      <c r="W249" s="858"/>
      <c r="X249" s="858"/>
      <c r="Y249" s="858"/>
      <c r="Z249" s="858"/>
    </row>
    <row r="250" spans="1:26" ht="18.75" hidden="1">
      <c r="A250" s="973"/>
      <c r="B250" s="1084"/>
      <c r="C250" s="866"/>
      <c r="D250" s="867" t="s">
        <v>97</v>
      </c>
      <c r="E250" s="866"/>
      <c r="F250" s="866"/>
      <c r="G250" s="868"/>
      <c r="H250" s="165" t="s">
        <v>12</v>
      </c>
      <c r="I250" s="980"/>
      <c r="J250" s="980"/>
      <c r="K250" s="981"/>
      <c r="L250" s="870">
        <f ca="1">IFERROR(__xludf.DUMMYFUNCTION("IMPORTRANGE(""https://docs.google.com/spreadsheets/d/1QqKyyYR6Q21VydFLVH3TRQUabQu_ym0Zz7PgGX0-kHA/edit?usp=sharing"",""แผน!AZ51"")"),0)</f>
        <v>0</v>
      </c>
      <c r="M250" s="870"/>
      <c r="N250" s="1486">
        <v>0</v>
      </c>
      <c r="O250" s="870"/>
      <c r="P250" s="870"/>
      <c r="Q250" s="858"/>
      <c r="R250" s="858"/>
      <c r="S250" s="858"/>
      <c r="T250" s="858"/>
      <c r="U250" s="858"/>
      <c r="V250" s="858"/>
      <c r="W250" s="858"/>
      <c r="X250" s="858"/>
      <c r="Y250" s="858"/>
      <c r="Z250" s="858"/>
    </row>
    <row r="251" spans="1:26" ht="19.5" hidden="1">
      <c r="A251" s="1085"/>
      <c r="B251" s="1084"/>
      <c r="C251" s="1086"/>
      <c r="D251" s="867" t="s">
        <v>98</v>
      </c>
      <c r="E251" s="866"/>
      <c r="F251" s="866"/>
      <c r="G251" s="868"/>
      <c r="H251" s="165" t="s">
        <v>12</v>
      </c>
      <c r="I251" s="869"/>
      <c r="J251" s="869"/>
      <c r="K251" s="870"/>
      <c r="L251" s="870">
        <f ca="1">IFERROR(__xludf.DUMMYFUNCTION("IMPORTRANGE(""https://docs.google.com/spreadsheets/d/1QqKyyYR6Q21VydFLVH3TRQUabQu_ym0Zz7PgGX0-kHA/edit?usp=sharing"",""แผน!BA51"")"),0)</f>
        <v>0</v>
      </c>
      <c r="M251" s="870"/>
      <c r="N251" s="1486">
        <v>0</v>
      </c>
      <c r="O251" s="870"/>
      <c r="P251" s="870"/>
      <c r="Q251" s="1087"/>
      <c r="R251" s="1087"/>
      <c r="S251" s="1087"/>
      <c r="T251" s="1087"/>
      <c r="U251" s="1087"/>
      <c r="V251" s="1087"/>
      <c r="W251" s="1087"/>
      <c r="X251" s="1087"/>
      <c r="Y251" s="1087"/>
      <c r="Z251" s="1087"/>
    </row>
    <row r="252" spans="1:26" ht="19.5" hidden="1">
      <c r="A252" s="1085"/>
      <c r="B252" s="1084"/>
      <c r="C252" s="1086"/>
      <c r="D252" s="867" t="s">
        <v>116</v>
      </c>
      <c r="E252" s="866"/>
      <c r="F252" s="866"/>
      <c r="G252" s="868"/>
      <c r="H252" s="165" t="s">
        <v>12</v>
      </c>
      <c r="I252" s="869"/>
      <c r="J252" s="869"/>
      <c r="K252" s="870"/>
      <c r="L252" s="870">
        <f ca="1">IFERROR(__xludf.DUMMYFUNCTION("IMPORTRANGE(""https://docs.google.com/spreadsheets/d/1QqKyyYR6Q21VydFLVH3TRQUabQu_ym0Zz7PgGX0-kHA/edit?usp=sharing"",""แผน!BB51"")"),0)</f>
        <v>0</v>
      </c>
      <c r="M252" s="870"/>
      <c r="N252" s="1486">
        <v>0</v>
      </c>
      <c r="O252" s="870"/>
      <c r="P252" s="870"/>
      <c r="Q252" s="1087"/>
      <c r="R252" s="1087"/>
      <c r="S252" s="1087"/>
      <c r="T252" s="1087"/>
      <c r="U252" s="1087"/>
      <c r="V252" s="1087"/>
      <c r="W252" s="1087"/>
      <c r="X252" s="1087"/>
      <c r="Y252" s="1087"/>
      <c r="Z252" s="1087"/>
    </row>
    <row r="253" spans="1:26" ht="19.5" hidden="1">
      <c r="A253" s="1085"/>
      <c r="B253" s="1084"/>
      <c r="C253" s="1086"/>
      <c r="D253" s="867" t="s">
        <v>100</v>
      </c>
      <c r="E253" s="866"/>
      <c r="F253" s="866"/>
      <c r="G253" s="868"/>
      <c r="H253" s="165" t="s">
        <v>12</v>
      </c>
      <c r="I253" s="869"/>
      <c r="J253" s="869"/>
      <c r="K253" s="870"/>
      <c r="L253" s="870">
        <f ca="1">IFERROR(__xludf.DUMMYFUNCTION("IMPORTRANGE(""https://docs.google.com/spreadsheets/d/1QqKyyYR6Q21VydFLVH3TRQUabQu_ym0Zz7PgGX0-kHA/edit?usp=sharing"",""แผน!BC51"")"),0)</f>
        <v>0</v>
      </c>
      <c r="M253" s="870"/>
      <c r="N253" s="1486">
        <v>0</v>
      </c>
      <c r="O253" s="870"/>
      <c r="P253" s="870"/>
      <c r="Q253" s="1087"/>
      <c r="R253" s="1087"/>
      <c r="S253" s="1087"/>
      <c r="T253" s="1087"/>
      <c r="U253" s="1087"/>
      <c r="V253" s="1087"/>
      <c r="W253" s="1087"/>
      <c r="X253" s="1087"/>
      <c r="Y253" s="1087"/>
      <c r="Z253" s="1087"/>
    </row>
    <row r="254" spans="1:26" ht="19.5" hidden="1">
      <c r="A254" s="1088"/>
      <c r="B254" s="1089"/>
      <c r="C254" s="1086" t="s">
        <v>16</v>
      </c>
      <c r="D254" s="1053" t="s">
        <v>38</v>
      </c>
      <c r="E254" s="1090"/>
      <c r="F254" s="1090"/>
      <c r="G254" s="1091"/>
      <c r="H254" s="1092"/>
      <c r="I254" s="980"/>
      <c r="J254" s="869"/>
      <c r="K254" s="870"/>
      <c r="L254" s="870"/>
      <c r="M254" s="870"/>
      <c r="N254" s="870"/>
      <c r="O254" s="981"/>
      <c r="P254" s="981"/>
      <c r="Q254" s="858"/>
      <c r="R254" s="858"/>
      <c r="S254" s="858"/>
      <c r="T254" s="858"/>
      <c r="U254" s="858"/>
      <c r="V254" s="858"/>
      <c r="W254" s="858"/>
      <c r="X254" s="858"/>
      <c r="Y254" s="858"/>
      <c r="Z254" s="858"/>
    </row>
    <row r="255" spans="1:26" ht="18.75" hidden="1">
      <c r="A255" s="1088"/>
      <c r="B255" s="1089"/>
      <c r="C255" s="1089"/>
      <c r="D255" s="1055" t="s">
        <v>117</v>
      </c>
      <c r="E255" s="1093"/>
      <c r="F255" s="1093"/>
      <c r="G255" s="1094"/>
      <c r="H255" s="370" t="s">
        <v>35</v>
      </c>
      <c r="I255" s="869">
        <f ca="1">IFERROR(__xludf.DUMMYFUNCTION("IMPORTRANGE(""https://docs.google.com/spreadsheets/d/1QqKyyYR6Q21VydFLVH3TRQUabQu_ym0Zz7PgGX0-kHA/edit?usp=sharing"",""แผน!BF51"")"),0)</f>
        <v>0</v>
      </c>
      <c r="J255" s="1487">
        <v>0</v>
      </c>
      <c r="K255" s="870">
        <f ca="1">IF(I255&gt;0,J255*100/I255,0)</f>
        <v>0</v>
      </c>
      <c r="L255" s="870"/>
      <c r="M255" s="870"/>
      <c r="N255" s="870"/>
      <c r="O255" s="870"/>
      <c r="P255" s="870"/>
      <c r="Q255" s="858"/>
      <c r="R255" s="858"/>
      <c r="S255" s="858"/>
      <c r="T255" s="858"/>
      <c r="U255" s="858"/>
      <c r="V255" s="858"/>
      <c r="W255" s="858"/>
      <c r="X255" s="858"/>
      <c r="Y255" s="858"/>
      <c r="Z255" s="858"/>
    </row>
    <row r="256" spans="1:26" ht="18.75" hidden="1">
      <c r="A256" s="1088"/>
      <c r="B256" s="1089"/>
      <c r="C256" s="1089"/>
      <c r="D256" s="1095" t="s">
        <v>43</v>
      </c>
      <c r="E256" s="1093"/>
      <c r="F256" s="1093"/>
      <c r="G256" s="1094"/>
      <c r="H256" s="370"/>
      <c r="I256" s="869"/>
      <c r="J256" s="869"/>
      <c r="K256" s="870"/>
      <c r="L256" s="870"/>
      <c r="M256" s="870"/>
      <c r="N256" s="870"/>
      <c r="O256" s="981"/>
      <c r="P256" s="981"/>
      <c r="Q256" s="858"/>
      <c r="R256" s="858"/>
      <c r="S256" s="858"/>
      <c r="T256" s="858"/>
      <c r="U256" s="858"/>
      <c r="V256" s="858"/>
      <c r="W256" s="858"/>
      <c r="X256" s="858"/>
      <c r="Y256" s="858"/>
      <c r="Z256" s="858"/>
    </row>
    <row r="257" spans="1:26" ht="18.75" hidden="1">
      <c r="A257" s="1088"/>
      <c r="B257" s="1089"/>
      <c r="C257" s="1089"/>
      <c r="D257" s="1089"/>
      <c r="E257" s="1054" t="s">
        <v>118</v>
      </c>
      <c r="F257" s="1093"/>
      <c r="G257" s="1094"/>
      <c r="H257" s="370" t="s">
        <v>35</v>
      </c>
      <c r="I257" s="869"/>
      <c r="J257" s="1487">
        <v>0</v>
      </c>
      <c r="K257" s="870">
        <f t="shared" ref="K257:K258" si="114">IF(I257&gt;0,J257*100/I257,0)</f>
        <v>0</v>
      </c>
      <c r="L257" s="870"/>
      <c r="M257" s="870"/>
      <c r="N257" s="870"/>
      <c r="O257" s="870"/>
      <c r="P257" s="870"/>
      <c r="Q257" s="858"/>
      <c r="R257" s="858"/>
      <c r="S257" s="858"/>
      <c r="T257" s="858"/>
      <c r="U257" s="858"/>
      <c r="V257" s="858"/>
      <c r="W257" s="858"/>
      <c r="X257" s="858"/>
      <c r="Y257" s="858"/>
      <c r="Z257" s="858"/>
    </row>
    <row r="258" spans="1:26" ht="18.75" hidden="1">
      <c r="A258" s="1088"/>
      <c r="B258" s="1089"/>
      <c r="C258" s="1089"/>
      <c r="D258" s="1089"/>
      <c r="E258" s="1054" t="s">
        <v>119</v>
      </c>
      <c r="F258" s="1093"/>
      <c r="G258" s="1094"/>
      <c r="H258" s="370" t="s">
        <v>66</v>
      </c>
      <c r="I258" s="869"/>
      <c r="J258" s="1487">
        <v>0</v>
      </c>
      <c r="K258" s="870">
        <f t="shared" si="114"/>
        <v>0</v>
      </c>
      <c r="L258" s="870"/>
      <c r="M258" s="870"/>
      <c r="N258" s="870"/>
      <c r="O258" s="870"/>
      <c r="P258" s="870"/>
      <c r="Q258" s="858"/>
      <c r="R258" s="858"/>
      <c r="S258" s="858"/>
      <c r="T258" s="858"/>
      <c r="U258" s="858"/>
      <c r="V258" s="858"/>
      <c r="W258" s="858"/>
      <c r="X258" s="858"/>
      <c r="Y258" s="858"/>
      <c r="Z258" s="858"/>
    </row>
    <row r="259" spans="1:26" ht="19.5">
      <c r="A259" s="1031" t="s">
        <v>122</v>
      </c>
      <c r="B259" s="1032"/>
      <c r="C259" s="1032"/>
      <c r="D259" s="1033"/>
      <c r="E259" s="1033"/>
      <c r="F259" s="1033"/>
      <c r="G259" s="1034"/>
      <c r="H259" s="1035"/>
      <c r="I259" s="1036"/>
      <c r="J259" s="1036"/>
      <c r="K259" s="1037"/>
      <c r="L259" s="1037"/>
      <c r="M259" s="1037"/>
      <c r="N259" s="1037"/>
      <c r="O259" s="1037"/>
      <c r="P259" s="1037"/>
    </row>
    <row r="260" spans="1:26" ht="19.5">
      <c r="A260" s="1038"/>
      <c r="B260" s="1039" t="s">
        <v>123</v>
      </c>
      <c r="C260" s="1040"/>
      <c r="D260" s="985"/>
      <c r="E260" s="985"/>
      <c r="F260" s="985"/>
      <c r="G260" s="986"/>
      <c r="H260" s="252" t="s">
        <v>35</v>
      </c>
      <c r="I260" s="1041">
        <f t="shared" ref="I260:J260" ca="1" si="115">I271</f>
        <v>24</v>
      </c>
      <c r="J260" s="1041">
        <f t="shared" si="115"/>
        <v>24</v>
      </c>
      <c r="K260" s="1042">
        <f ca="1">IF(I260&gt;0,J260*100/I260,0)</f>
        <v>100</v>
      </c>
      <c r="L260" s="1043"/>
      <c r="M260" s="1043"/>
      <c r="N260" s="1043"/>
      <c r="O260" s="1043"/>
      <c r="P260" s="1043"/>
    </row>
    <row r="261" spans="1:26" ht="19.5">
      <c r="A261" s="965"/>
      <c r="B261" s="966"/>
      <c r="C261" s="967" t="s">
        <v>16</v>
      </c>
      <c r="D261" s="968" t="s">
        <v>17</v>
      </c>
      <c r="E261" s="966"/>
      <c r="F261" s="966"/>
      <c r="G261" s="969"/>
      <c r="H261" s="152" t="s">
        <v>12</v>
      </c>
      <c r="I261" s="970"/>
      <c r="J261" s="970"/>
      <c r="K261" s="971"/>
      <c r="L261" s="972">
        <f t="shared" ref="L261:N261" ca="1" si="116">L262+L263</f>
        <v>28800</v>
      </c>
      <c r="M261" s="972">
        <f t="shared" ca="1" si="116"/>
        <v>25800</v>
      </c>
      <c r="N261" s="972">
        <f t="shared" ca="1" si="116"/>
        <v>25450</v>
      </c>
      <c r="O261" s="972">
        <f t="shared" ref="O261:O269" ca="1" si="117">IF(L261&gt;0,N261*100/L261,0)</f>
        <v>88.368055555555557</v>
      </c>
      <c r="P261" s="972">
        <f t="shared" ref="P261:P269" ca="1" si="118">IF(M261&gt;0,N261*100/M261,0)</f>
        <v>98.643410852713174</v>
      </c>
      <c r="Q261" s="851"/>
      <c r="R261" s="851"/>
      <c r="S261" s="851"/>
      <c r="T261" s="851"/>
      <c r="U261" s="851"/>
      <c r="V261" s="851"/>
      <c r="W261" s="851"/>
      <c r="X261" s="851"/>
      <c r="Y261" s="851"/>
      <c r="Z261" s="851"/>
    </row>
    <row r="262" spans="1:26" ht="18.75" hidden="1">
      <c r="A262" s="973"/>
      <c r="B262" s="866"/>
      <c r="C262" s="866"/>
      <c r="D262" s="866"/>
      <c r="E262" s="867" t="s">
        <v>18</v>
      </c>
      <c r="F262" s="866"/>
      <c r="G262" s="974"/>
      <c r="H262" s="158" t="s">
        <v>12</v>
      </c>
      <c r="I262" s="869"/>
      <c r="J262" s="869"/>
      <c r="K262" s="870"/>
      <c r="L262" s="870">
        <f t="shared" ref="L262:N263" si="119">L265+L268</f>
        <v>0</v>
      </c>
      <c r="M262" s="870">
        <f t="shared" si="119"/>
        <v>0</v>
      </c>
      <c r="N262" s="870">
        <f t="shared" si="119"/>
        <v>0</v>
      </c>
      <c r="O262" s="870">
        <f t="shared" si="117"/>
        <v>0</v>
      </c>
      <c r="P262" s="870">
        <f t="shared" si="118"/>
        <v>0</v>
      </c>
      <c r="Q262" s="858"/>
      <c r="R262" s="858"/>
      <c r="S262" s="858"/>
      <c r="T262" s="858"/>
      <c r="U262" s="858"/>
      <c r="V262" s="858"/>
      <c r="W262" s="858"/>
      <c r="X262" s="858"/>
      <c r="Y262" s="858"/>
      <c r="Z262" s="858"/>
    </row>
    <row r="263" spans="1:26" ht="18.75" hidden="1">
      <c r="A263" s="973"/>
      <c r="B263" s="866"/>
      <c r="C263" s="866"/>
      <c r="D263" s="866"/>
      <c r="E263" s="867" t="s">
        <v>19</v>
      </c>
      <c r="F263" s="866"/>
      <c r="G263" s="974"/>
      <c r="H263" s="158" t="s">
        <v>12</v>
      </c>
      <c r="I263" s="869"/>
      <c r="J263" s="869"/>
      <c r="K263" s="870"/>
      <c r="L263" s="870">
        <f t="shared" ca="1" si="119"/>
        <v>28800</v>
      </c>
      <c r="M263" s="870">
        <f t="shared" ca="1" si="119"/>
        <v>25800</v>
      </c>
      <c r="N263" s="870">
        <f t="shared" ca="1" si="119"/>
        <v>25450</v>
      </c>
      <c r="O263" s="870">
        <f t="shared" ca="1" si="117"/>
        <v>88.368055555555557</v>
      </c>
      <c r="P263" s="870">
        <f t="shared" ca="1" si="118"/>
        <v>98.643410852713174</v>
      </c>
      <c r="Q263" s="858"/>
      <c r="R263" s="858"/>
      <c r="S263" s="858"/>
      <c r="T263" s="858"/>
      <c r="U263" s="858"/>
      <c r="V263" s="858"/>
      <c r="W263" s="858"/>
      <c r="X263" s="858"/>
      <c r="Y263" s="858"/>
      <c r="Z263" s="858"/>
    </row>
    <row r="264" spans="1:26" ht="18.75">
      <c r="A264" s="975"/>
      <c r="B264" s="860"/>
      <c r="C264" s="976"/>
      <c r="D264" s="861" t="s">
        <v>20</v>
      </c>
      <c r="E264" s="860"/>
      <c r="F264" s="860"/>
      <c r="G264" s="862"/>
      <c r="H264" s="161" t="s">
        <v>12</v>
      </c>
      <c r="I264" s="977"/>
      <c r="J264" s="977"/>
      <c r="K264" s="978"/>
      <c r="L264" s="864">
        <f t="shared" ref="L264:N264" ca="1" si="120">L265+L266</f>
        <v>28800</v>
      </c>
      <c r="M264" s="864">
        <f t="shared" ca="1" si="120"/>
        <v>25800</v>
      </c>
      <c r="N264" s="864">
        <f t="shared" ca="1" si="120"/>
        <v>25450</v>
      </c>
      <c r="O264" s="864">
        <f t="shared" ca="1" si="117"/>
        <v>88.368055555555557</v>
      </c>
      <c r="P264" s="864">
        <f t="shared" ca="1" si="118"/>
        <v>98.643410852713174</v>
      </c>
      <c r="Q264" s="851"/>
      <c r="R264" s="851"/>
      <c r="S264" s="851"/>
      <c r="T264" s="851"/>
      <c r="U264" s="851"/>
      <c r="V264" s="851"/>
      <c r="W264" s="851"/>
      <c r="X264" s="851"/>
      <c r="Y264" s="851"/>
      <c r="Z264" s="851"/>
    </row>
    <row r="265" spans="1:26" ht="19.5" hidden="1">
      <c r="A265" s="973"/>
      <c r="B265" s="866"/>
      <c r="C265" s="979"/>
      <c r="D265" s="866"/>
      <c r="E265" s="867" t="s">
        <v>36</v>
      </c>
      <c r="F265" s="866"/>
      <c r="G265" s="974"/>
      <c r="H265" s="165" t="s">
        <v>12</v>
      </c>
      <c r="I265" s="980"/>
      <c r="J265" s="980"/>
      <c r="K265" s="981"/>
      <c r="L265" s="870">
        <v>0</v>
      </c>
      <c r="M265" s="870">
        <v>0</v>
      </c>
      <c r="N265" s="870">
        <v>0</v>
      </c>
      <c r="O265" s="870">
        <f t="shared" si="117"/>
        <v>0</v>
      </c>
      <c r="P265" s="870">
        <f t="shared" si="118"/>
        <v>0</v>
      </c>
      <c r="Q265" s="858"/>
      <c r="R265" s="858"/>
      <c r="S265" s="858"/>
      <c r="T265" s="858"/>
      <c r="U265" s="858"/>
      <c r="V265" s="858"/>
      <c r="W265" s="858"/>
      <c r="X265" s="858"/>
      <c r="Y265" s="858"/>
      <c r="Z265" s="858"/>
    </row>
    <row r="266" spans="1:26" ht="19.5" hidden="1">
      <c r="A266" s="973"/>
      <c r="B266" s="866"/>
      <c r="C266" s="979"/>
      <c r="D266" s="866"/>
      <c r="E266" s="867" t="s">
        <v>37</v>
      </c>
      <c r="F266" s="866"/>
      <c r="G266" s="974"/>
      <c r="H266" s="165" t="s">
        <v>12</v>
      </c>
      <c r="I266" s="980"/>
      <c r="J266" s="980"/>
      <c r="K266" s="981"/>
      <c r="L266" s="870">
        <f ca="1">IFERROR(__xludf.DUMMYFUNCTION("IMPORTRANGE(""https://docs.google.com/spreadsheets/d/1MeEWN-I1oV_STSDYn1IFDPWt_1FKiwhDph83XaGc0o0/edit?usp=sharing"",""งบพรบ!CY51"")"),28800)</f>
        <v>28800</v>
      </c>
      <c r="M266" s="870">
        <f ca="1">IFERROR(__xludf.DUMMYFUNCTION("IMPORTRANGE(""https://docs.google.com/spreadsheets/d/1MeEWN-I1oV_STSDYn1IFDPWt_1FKiwhDph83XaGc0o0/edit?usp=sharing"",""งบพรบ!DD51"")"),25800)</f>
        <v>25800</v>
      </c>
      <c r="N266" s="870">
        <f ca="1">IFERROR(__xludf.DUMMYFUNCTION("IMPORTRANGE(""https://docs.google.com/spreadsheets/d/1MeEWN-I1oV_STSDYn1IFDPWt_1FKiwhDph83XaGc0o0/edit?usp=sharing"",""งบพรบ!DF51"")"),25450)</f>
        <v>25450</v>
      </c>
      <c r="O266" s="870">
        <f t="shared" ca="1" si="117"/>
        <v>88.368055555555557</v>
      </c>
      <c r="P266" s="870">
        <f t="shared" ca="1" si="118"/>
        <v>98.643410852713174</v>
      </c>
      <c r="Q266" s="858"/>
      <c r="R266" s="858"/>
      <c r="S266" s="858"/>
      <c r="T266" s="858"/>
      <c r="U266" s="858"/>
      <c r="V266" s="858"/>
      <c r="W266" s="858"/>
      <c r="X266" s="858"/>
      <c r="Y266" s="858"/>
      <c r="Z266" s="858"/>
    </row>
    <row r="267" spans="1:26" ht="18.75">
      <c r="A267" s="975"/>
      <c r="B267" s="860"/>
      <c r="C267" s="976"/>
      <c r="D267" s="861" t="s">
        <v>21</v>
      </c>
      <c r="E267" s="860"/>
      <c r="F267" s="860"/>
      <c r="G267" s="862"/>
      <c r="H267" s="168" t="s">
        <v>12</v>
      </c>
      <c r="I267" s="977"/>
      <c r="J267" s="977"/>
      <c r="K267" s="978"/>
      <c r="L267" s="864">
        <f t="shared" ref="L267:N267" ca="1" si="121">L268+L269</f>
        <v>0</v>
      </c>
      <c r="M267" s="864">
        <f t="shared" ca="1" si="121"/>
        <v>0</v>
      </c>
      <c r="N267" s="864">
        <f t="shared" ca="1" si="121"/>
        <v>0</v>
      </c>
      <c r="O267" s="864">
        <f t="shared" ca="1" si="117"/>
        <v>0</v>
      </c>
      <c r="P267" s="864">
        <f t="shared" ca="1" si="118"/>
        <v>0</v>
      </c>
      <c r="Q267" s="851"/>
      <c r="R267" s="851"/>
      <c r="S267" s="851"/>
      <c r="T267" s="851"/>
      <c r="U267" s="851"/>
      <c r="V267" s="851"/>
      <c r="W267" s="851"/>
      <c r="X267" s="851"/>
      <c r="Y267" s="851"/>
      <c r="Z267" s="851"/>
    </row>
    <row r="268" spans="1:26" ht="19.5" hidden="1">
      <c r="A268" s="973"/>
      <c r="B268" s="866"/>
      <c r="C268" s="979"/>
      <c r="D268" s="866"/>
      <c r="E268" s="867" t="s">
        <v>18</v>
      </c>
      <c r="F268" s="866"/>
      <c r="G268" s="974"/>
      <c r="H268" s="165" t="s">
        <v>12</v>
      </c>
      <c r="I268" s="980"/>
      <c r="J268" s="980"/>
      <c r="K268" s="981"/>
      <c r="L268" s="870">
        <v>0</v>
      </c>
      <c r="M268" s="870">
        <v>0</v>
      </c>
      <c r="N268" s="870">
        <v>0</v>
      </c>
      <c r="O268" s="870">
        <f t="shared" si="117"/>
        <v>0</v>
      </c>
      <c r="P268" s="870">
        <f t="shared" si="118"/>
        <v>0</v>
      </c>
      <c r="Q268" s="858"/>
      <c r="R268" s="858"/>
      <c r="S268" s="858"/>
      <c r="T268" s="858"/>
      <c r="U268" s="858"/>
      <c r="V268" s="858"/>
      <c r="W268" s="858"/>
      <c r="X268" s="858"/>
      <c r="Y268" s="858"/>
      <c r="Z268" s="858"/>
    </row>
    <row r="269" spans="1:26" ht="19.5" hidden="1">
      <c r="A269" s="973"/>
      <c r="B269" s="866"/>
      <c r="C269" s="979"/>
      <c r="D269" s="866"/>
      <c r="E269" s="867" t="s">
        <v>19</v>
      </c>
      <c r="F269" s="866"/>
      <c r="G269" s="974"/>
      <c r="H269" s="169" t="s">
        <v>12</v>
      </c>
      <c r="I269" s="980"/>
      <c r="J269" s="980"/>
      <c r="K269" s="981"/>
      <c r="L269" s="870">
        <f ca="1">IFERROR(__xludf.DUMMYFUNCTION("IMPORTRANGE(""https://docs.google.com/spreadsheets/d/1MeEWN-I1oV_STSDYn1IFDPWt_1FKiwhDph83XaGc0o0/edit?usp=sharing"",""งบพรบ!DB51"")"),0)</f>
        <v>0</v>
      </c>
      <c r="M269" s="870">
        <f ca="1">IFERROR(__xludf.DUMMYFUNCTION("IMPORTRANGE(""https://docs.google.com/spreadsheets/d/1MeEWN-I1oV_STSDYn1IFDPWt_1FKiwhDph83XaGc0o0/edit?usp=sharing"",""งบพรบ!DE51"")"),0)</f>
        <v>0</v>
      </c>
      <c r="N269" s="870">
        <f ca="1">IFERROR(__xludf.DUMMYFUNCTION("IMPORTRANGE(""https://docs.google.com/spreadsheets/d/1MeEWN-I1oV_STSDYn1IFDPWt_1FKiwhDph83XaGc0o0/edit?usp=sharing"",""งบพรบ!DG51"")"),0)</f>
        <v>0</v>
      </c>
      <c r="O269" s="870">
        <f t="shared" ca="1" si="117"/>
        <v>0</v>
      </c>
      <c r="P269" s="870">
        <f t="shared" ca="1" si="118"/>
        <v>0</v>
      </c>
      <c r="Q269" s="858"/>
      <c r="R269" s="858"/>
      <c r="S269" s="858"/>
      <c r="T269" s="858"/>
      <c r="U269" s="858"/>
      <c r="V269" s="858"/>
      <c r="W269" s="858"/>
      <c r="X269" s="858"/>
      <c r="Y269" s="858"/>
      <c r="Z269" s="858"/>
    </row>
    <row r="270" spans="1:26" ht="19.5">
      <c r="A270" s="982"/>
      <c r="B270" s="983"/>
      <c r="C270" s="976" t="s">
        <v>16</v>
      </c>
      <c r="D270" s="984" t="s">
        <v>38</v>
      </c>
      <c r="E270" s="985"/>
      <c r="F270" s="985"/>
      <c r="G270" s="986"/>
      <c r="H270" s="987"/>
      <c r="I270" s="977"/>
      <c r="J270" s="977"/>
      <c r="K270" s="978"/>
      <c r="L270" s="978"/>
      <c r="M270" s="978"/>
      <c r="N270" s="978"/>
      <c r="O270" s="978"/>
      <c r="P270" s="978"/>
    </row>
    <row r="271" spans="1:26" ht="18.75">
      <c r="A271" s="982"/>
      <c r="B271" s="983"/>
      <c r="C271" s="983"/>
      <c r="D271" s="1111" t="s">
        <v>124</v>
      </c>
      <c r="E271" s="990"/>
      <c r="F271" s="1055"/>
      <c r="G271" s="991"/>
      <c r="H271" s="377" t="s">
        <v>35</v>
      </c>
      <c r="I271" s="863">
        <f ca="1">IFERROR(__xludf.DUMMYFUNCTION("IMPORTRANGE(""https://docs.google.com/spreadsheets/d/1QqKyyYR6Q21VydFLVH3TRQUabQu_ym0Zz7PgGX0-kHA/edit?usp=sharing"",""แผน!EA51"")"),24)</f>
        <v>24</v>
      </c>
      <c r="J271" s="992">
        <v>24</v>
      </c>
      <c r="K271" s="978">
        <f ca="1">IF(I271&gt;0,J271*100/I271,0)</f>
        <v>100</v>
      </c>
      <c r="L271" s="978"/>
      <c r="M271" s="978"/>
      <c r="N271" s="978"/>
      <c r="O271" s="978"/>
      <c r="P271" s="978"/>
    </row>
    <row r="272" spans="1:26" ht="18.75" hidden="1">
      <c r="A272" s="1112"/>
      <c r="B272" s="1113"/>
      <c r="C272" s="1113"/>
      <c r="D272" s="1114" t="s">
        <v>125</v>
      </c>
      <c r="E272" s="1115"/>
      <c r="F272" s="1115"/>
      <c r="G272" s="1116"/>
      <c r="H272" s="50" t="s">
        <v>35</v>
      </c>
      <c r="I272" s="1117">
        <v>0</v>
      </c>
      <c r="J272" s="1117">
        <v>0</v>
      </c>
      <c r="K272" s="1118">
        <v>0</v>
      </c>
      <c r="L272" s="1118"/>
      <c r="M272" s="1118"/>
      <c r="N272" s="1118"/>
      <c r="O272" s="1118"/>
      <c r="P272" s="1118"/>
    </row>
    <row r="273" spans="1:26" ht="19.5">
      <c r="A273" s="1119" t="s">
        <v>126</v>
      </c>
      <c r="B273" s="1120"/>
      <c r="C273" s="1120"/>
      <c r="D273" s="1120"/>
      <c r="E273" s="1121"/>
      <c r="F273" s="1121"/>
      <c r="G273" s="1122"/>
      <c r="H273" s="1123"/>
      <c r="I273" s="1124"/>
      <c r="J273" s="1124"/>
      <c r="K273" s="1125"/>
      <c r="L273" s="1125"/>
      <c r="M273" s="1125"/>
      <c r="N273" s="1125"/>
      <c r="O273" s="1125"/>
      <c r="P273" s="1125"/>
    </row>
    <row r="274" spans="1:26" ht="19.5">
      <c r="A274" s="1126" t="s">
        <v>127</v>
      </c>
      <c r="B274" s="1127"/>
      <c r="C274" s="1128"/>
      <c r="D274" s="1127"/>
      <c r="E274" s="1127"/>
      <c r="F274" s="1127"/>
      <c r="G274" s="1127"/>
      <c r="H274" s="1129"/>
      <c r="I274" s="1130"/>
      <c r="J274" s="1131"/>
      <c r="K274" s="1132"/>
      <c r="L274" s="1132"/>
      <c r="M274" s="1132"/>
      <c r="N274" s="1132"/>
      <c r="O274" s="1132"/>
      <c r="P274" s="1132"/>
    </row>
    <row r="275" spans="1:26" ht="19.5">
      <c r="A275" s="1133"/>
      <c r="B275" s="1134" t="s">
        <v>128</v>
      </c>
      <c r="C275" s="1135"/>
      <c r="D275" s="1136"/>
      <c r="E275" s="1135"/>
      <c r="F275" s="1135"/>
      <c r="G275" s="1137"/>
      <c r="H275" s="405" t="s">
        <v>35</v>
      </c>
      <c r="I275" s="1138">
        <f t="shared" ref="I275:J275" ca="1" si="122">I288</f>
        <v>20</v>
      </c>
      <c r="J275" s="1138">
        <f t="shared" ca="1" si="122"/>
        <v>0</v>
      </c>
      <c r="K275" s="1139">
        <f t="shared" ref="K275:K276" ca="1" si="123">IF(I275&gt;0,J275*100/I275,0)</f>
        <v>0</v>
      </c>
      <c r="L275" s="1140"/>
      <c r="M275" s="1140"/>
      <c r="N275" s="1140"/>
      <c r="O275" s="1140"/>
      <c r="P275" s="1140"/>
    </row>
    <row r="276" spans="1:26" ht="19.5">
      <c r="A276" s="1133"/>
      <c r="B276" s="1134"/>
      <c r="C276" s="1135"/>
      <c r="D276" s="1136"/>
      <c r="E276" s="1135"/>
      <c r="F276" s="1135"/>
      <c r="G276" s="1137"/>
      <c r="H276" s="405" t="s">
        <v>46</v>
      </c>
      <c r="I276" s="1141">
        <f t="shared" ref="I276:J276" ca="1" si="124">I287</f>
        <v>200</v>
      </c>
      <c r="J276" s="1141">
        <f t="shared" si="124"/>
        <v>200</v>
      </c>
      <c r="K276" s="1140">
        <f t="shared" ca="1" si="123"/>
        <v>100</v>
      </c>
      <c r="L276" s="1140"/>
      <c r="M276" s="1140"/>
      <c r="N276" s="1140"/>
      <c r="O276" s="1140"/>
      <c r="P276" s="1140"/>
    </row>
    <row r="277" spans="1:26" ht="19.5">
      <c r="A277" s="965"/>
      <c r="B277" s="966"/>
      <c r="C277" s="967" t="s">
        <v>16</v>
      </c>
      <c r="D277" s="968" t="s">
        <v>17</v>
      </c>
      <c r="E277" s="966"/>
      <c r="F277" s="966"/>
      <c r="G277" s="969"/>
      <c r="H277" s="152" t="s">
        <v>12</v>
      </c>
      <c r="I277" s="970"/>
      <c r="J277" s="970"/>
      <c r="K277" s="971"/>
      <c r="L277" s="972">
        <f t="shared" ref="L277:N277" ca="1" si="125">L278+L279</f>
        <v>75640</v>
      </c>
      <c r="M277" s="972">
        <f t="shared" ca="1" si="125"/>
        <v>37520</v>
      </c>
      <c r="N277" s="972">
        <f t="shared" ca="1" si="125"/>
        <v>23575.9</v>
      </c>
      <c r="O277" s="972">
        <f t="shared" ref="O277:O285" ca="1" si="126">IF(L277&gt;0,N277*100/L277,0)</f>
        <v>31.168561607615018</v>
      </c>
      <c r="P277" s="972">
        <f t="shared" ref="P277:P285" ca="1" si="127">IF(M277&gt;0,N277*100/M277,0)</f>
        <v>62.835554371002132</v>
      </c>
      <c r="Q277" s="851"/>
      <c r="R277" s="851"/>
      <c r="S277" s="851"/>
      <c r="T277" s="851"/>
      <c r="U277" s="851"/>
      <c r="V277" s="851"/>
      <c r="W277" s="851"/>
      <c r="X277" s="851"/>
      <c r="Y277" s="851"/>
      <c r="Z277" s="851"/>
    </row>
    <row r="278" spans="1:26" ht="18.75" hidden="1">
      <c r="A278" s="973"/>
      <c r="B278" s="866"/>
      <c r="C278" s="866"/>
      <c r="D278" s="866"/>
      <c r="E278" s="867" t="s">
        <v>18</v>
      </c>
      <c r="F278" s="866"/>
      <c r="G278" s="974"/>
      <c r="H278" s="158" t="s">
        <v>12</v>
      </c>
      <c r="I278" s="869"/>
      <c r="J278" s="869"/>
      <c r="K278" s="870"/>
      <c r="L278" s="870">
        <f t="shared" ref="L278:N279" si="128">L281+L284</f>
        <v>0</v>
      </c>
      <c r="M278" s="870">
        <f t="shared" si="128"/>
        <v>0</v>
      </c>
      <c r="N278" s="870">
        <f t="shared" si="128"/>
        <v>0</v>
      </c>
      <c r="O278" s="870">
        <f t="shared" si="126"/>
        <v>0</v>
      </c>
      <c r="P278" s="870">
        <f t="shared" si="127"/>
        <v>0</v>
      </c>
      <c r="Q278" s="858"/>
      <c r="R278" s="858"/>
      <c r="S278" s="858"/>
      <c r="T278" s="858"/>
      <c r="U278" s="858"/>
      <c r="V278" s="858"/>
      <c r="W278" s="858"/>
      <c r="X278" s="858"/>
      <c r="Y278" s="858"/>
      <c r="Z278" s="858"/>
    </row>
    <row r="279" spans="1:26" ht="18.75" hidden="1">
      <c r="A279" s="973"/>
      <c r="B279" s="866"/>
      <c r="C279" s="866"/>
      <c r="D279" s="866"/>
      <c r="E279" s="867" t="s">
        <v>19</v>
      </c>
      <c r="F279" s="866"/>
      <c r="G279" s="974"/>
      <c r="H279" s="158" t="s">
        <v>12</v>
      </c>
      <c r="I279" s="869"/>
      <c r="J279" s="869"/>
      <c r="K279" s="870"/>
      <c r="L279" s="870">
        <f t="shared" ca="1" si="128"/>
        <v>75640</v>
      </c>
      <c r="M279" s="870">
        <f t="shared" ca="1" si="128"/>
        <v>37520</v>
      </c>
      <c r="N279" s="870">
        <f t="shared" ca="1" si="128"/>
        <v>23575.9</v>
      </c>
      <c r="O279" s="870">
        <f t="shared" ca="1" si="126"/>
        <v>31.168561607615018</v>
      </c>
      <c r="P279" s="870">
        <f t="shared" ca="1" si="127"/>
        <v>62.835554371002132</v>
      </c>
      <c r="Q279" s="858"/>
      <c r="R279" s="858"/>
      <c r="S279" s="858"/>
      <c r="T279" s="858"/>
      <c r="U279" s="858"/>
      <c r="V279" s="858"/>
      <c r="W279" s="858"/>
      <c r="X279" s="858"/>
      <c r="Y279" s="858"/>
      <c r="Z279" s="858"/>
    </row>
    <row r="280" spans="1:26" ht="18.75">
      <c r="A280" s="975"/>
      <c r="B280" s="860"/>
      <c r="C280" s="976"/>
      <c r="D280" s="861" t="s">
        <v>20</v>
      </c>
      <c r="E280" s="860"/>
      <c r="F280" s="860"/>
      <c r="G280" s="862"/>
      <c r="H280" s="161" t="s">
        <v>12</v>
      </c>
      <c r="I280" s="977"/>
      <c r="J280" s="977"/>
      <c r="K280" s="978"/>
      <c r="L280" s="864">
        <f t="shared" ref="L280:N280" ca="1" si="129">L281+L282</f>
        <v>75640</v>
      </c>
      <c r="M280" s="864">
        <f t="shared" ca="1" si="129"/>
        <v>37520</v>
      </c>
      <c r="N280" s="864">
        <f t="shared" ca="1" si="129"/>
        <v>23575.9</v>
      </c>
      <c r="O280" s="864">
        <f t="shared" ca="1" si="126"/>
        <v>31.168561607615018</v>
      </c>
      <c r="P280" s="864">
        <f t="shared" ca="1" si="127"/>
        <v>62.835554371002132</v>
      </c>
      <c r="Q280" s="851"/>
      <c r="R280" s="851"/>
      <c r="S280" s="851"/>
      <c r="T280" s="851"/>
      <c r="U280" s="851"/>
      <c r="V280" s="851"/>
      <c r="W280" s="851"/>
      <c r="X280" s="851"/>
      <c r="Y280" s="851"/>
      <c r="Z280" s="851"/>
    </row>
    <row r="281" spans="1:26" ht="19.5" hidden="1">
      <c r="A281" s="973"/>
      <c r="B281" s="866"/>
      <c r="C281" s="979"/>
      <c r="D281" s="866"/>
      <c r="E281" s="867" t="s">
        <v>36</v>
      </c>
      <c r="F281" s="866"/>
      <c r="G281" s="974"/>
      <c r="H281" s="165" t="s">
        <v>12</v>
      </c>
      <c r="I281" s="980"/>
      <c r="J281" s="980"/>
      <c r="K281" s="981"/>
      <c r="L281" s="870">
        <v>0</v>
      </c>
      <c r="M281" s="870">
        <v>0</v>
      </c>
      <c r="N281" s="870">
        <v>0</v>
      </c>
      <c r="O281" s="870">
        <f t="shared" si="126"/>
        <v>0</v>
      </c>
      <c r="P281" s="870">
        <f t="shared" si="127"/>
        <v>0</v>
      </c>
      <c r="Q281" s="858"/>
      <c r="R281" s="858"/>
      <c r="S281" s="858"/>
      <c r="T281" s="858"/>
      <c r="U281" s="858"/>
      <c r="V281" s="858"/>
      <c r="W281" s="858"/>
      <c r="X281" s="858"/>
      <c r="Y281" s="858"/>
      <c r="Z281" s="858"/>
    </row>
    <row r="282" spans="1:26" ht="19.5" hidden="1">
      <c r="A282" s="973"/>
      <c r="B282" s="866"/>
      <c r="C282" s="979"/>
      <c r="D282" s="866"/>
      <c r="E282" s="867" t="s">
        <v>37</v>
      </c>
      <c r="F282" s="866"/>
      <c r="G282" s="974"/>
      <c r="H282" s="165" t="s">
        <v>12</v>
      </c>
      <c r="I282" s="980"/>
      <c r="J282" s="980"/>
      <c r="K282" s="981"/>
      <c r="L282" s="870">
        <f ca="1">IFERROR(__xludf.DUMMYFUNCTION("IMPORTRANGE(""https://docs.google.com/spreadsheets/d/1MeEWN-I1oV_STSDYn1IFDPWt_1FKiwhDph83XaGc0o0/edit?usp=sharing"",""งบพรบ!DI51"")"),75640)</f>
        <v>75640</v>
      </c>
      <c r="M282" s="870">
        <f ca="1">IFERROR(__xludf.DUMMYFUNCTION("IMPORTRANGE(""https://docs.google.com/spreadsheets/d/1MeEWN-I1oV_STSDYn1IFDPWt_1FKiwhDph83XaGc0o0/edit?usp=sharing"",""งบพรบ!DN51"")"),37520)</f>
        <v>37520</v>
      </c>
      <c r="N282" s="870">
        <f ca="1">IFERROR(__xludf.DUMMYFUNCTION("IMPORTRANGE(""https://docs.google.com/spreadsheets/d/1MeEWN-I1oV_STSDYn1IFDPWt_1FKiwhDph83XaGc0o0/edit?usp=sharing"",""งบพรบ!DP51"")"),23575.9)</f>
        <v>23575.9</v>
      </c>
      <c r="O282" s="870">
        <f t="shared" ca="1" si="126"/>
        <v>31.168561607615018</v>
      </c>
      <c r="P282" s="870">
        <f t="shared" ca="1" si="127"/>
        <v>62.835554371002132</v>
      </c>
      <c r="Q282" s="858"/>
      <c r="R282" s="858"/>
      <c r="S282" s="858"/>
      <c r="T282" s="858"/>
      <c r="U282" s="858"/>
      <c r="V282" s="858"/>
      <c r="W282" s="858"/>
      <c r="X282" s="858"/>
      <c r="Y282" s="858"/>
      <c r="Z282" s="858"/>
    </row>
    <row r="283" spans="1:26" ht="18.75">
      <c r="A283" s="975"/>
      <c r="B283" s="860"/>
      <c r="C283" s="976"/>
      <c r="D283" s="861" t="s">
        <v>21</v>
      </c>
      <c r="E283" s="860"/>
      <c r="F283" s="860"/>
      <c r="G283" s="862"/>
      <c r="H283" s="168" t="s">
        <v>12</v>
      </c>
      <c r="I283" s="977"/>
      <c r="J283" s="977"/>
      <c r="K283" s="978"/>
      <c r="L283" s="864">
        <f t="shared" ref="L283:N283" ca="1" si="130">L284+L285</f>
        <v>0</v>
      </c>
      <c r="M283" s="864">
        <f t="shared" ca="1" si="130"/>
        <v>0</v>
      </c>
      <c r="N283" s="864">
        <f t="shared" ca="1" si="130"/>
        <v>0</v>
      </c>
      <c r="O283" s="864">
        <f t="shared" ca="1" si="126"/>
        <v>0</v>
      </c>
      <c r="P283" s="864">
        <f t="shared" ca="1" si="127"/>
        <v>0</v>
      </c>
      <c r="Q283" s="851"/>
      <c r="R283" s="851"/>
      <c r="S283" s="851"/>
      <c r="T283" s="851"/>
      <c r="U283" s="851"/>
      <c r="V283" s="851"/>
      <c r="W283" s="851"/>
      <c r="X283" s="851"/>
      <c r="Y283" s="851"/>
      <c r="Z283" s="851"/>
    </row>
    <row r="284" spans="1:26" ht="19.5" hidden="1">
      <c r="A284" s="973"/>
      <c r="B284" s="866"/>
      <c r="C284" s="979"/>
      <c r="D284" s="866"/>
      <c r="E284" s="867" t="s">
        <v>18</v>
      </c>
      <c r="F284" s="866"/>
      <c r="G284" s="974"/>
      <c r="H284" s="165" t="s">
        <v>12</v>
      </c>
      <c r="I284" s="980"/>
      <c r="J284" s="980"/>
      <c r="K284" s="981"/>
      <c r="L284" s="870">
        <v>0</v>
      </c>
      <c r="M284" s="870">
        <v>0</v>
      </c>
      <c r="N284" s="870">
        <v>0</v>
      </c>
      <c r="O284" s="870">
        <f t="shared" si="126"/>
        <v>0</v>
      </c>
      <c r="P284" s="870">
        <f t="shared" si="127"/>
        <v>0</v>
      </c>
      <c r="Q284" s="858"/>
      <c r="R284" s="858"/>
      <c r="S284" s="858"/>
      <c r="T284" s="858"/>
      <c r="U284" s="858"/>
      <c r="V284" s="858"/>
      <c r="W284" s="858"/>
      <c r="X284" s="858"/>
      <c r="Y284" s="858"/>
      <c r="Z284" s="858"/>
    </row>
    <row r="285" spans="1:26" ht="19.5" hidden="1">
      <c r="A285" s="973"/>
      <c r="B285" s="866"/>
      <c r="C285" s="979"/>
      <c r="D285" s="866"/>
      <c r="E285" s="867" t="s">
        <v>19</v>
      </c>
      <c r="F285" s="866"/>
      <c r="G285" s="974"/>
      <c r="H285" s="169" t="s">
        <v>12</v>
      </c>
      <c r="I285" s="980"/>
      <c r="J285" s="980"/>
      <c r="K285" s="981"/>
      <c r="L285" s="870">
        <f ca="1">IFERROR(__xludf.DUMMYFUNCTION("IMPORTRANGE(""https://docs.google.com/spreadsheets/d/1MeEWN-I1oV_STSDYn1IFDPWt_1FKiwhDph83XaGc0o0/edit?usp=sharing"",""งบพรบ!DL51"")"),0)</f>
        <v>0</v>
      </c>
      <c r="M285" s="870">
        <f ca="1">IFERROR(__xludf.DUMMYFUNCTION("IMPORTRANGE(""https://docs.google.com/spreadsheets/d/1MeEWN-I1oV_STSDYn1IFDPWt_1FKiwhDph83XaGc0o0/edit?usp=sharing"",""งบพรบ!DO51"")"),0)</f>
        <v>0</v>
      </c>
      <c r="N285" s="870">
        <f ca="1">IFERROR(__xludf.DUMMYFUNCTION("IMPORTRANGE(""https://docs.google.com/spreadsheets/d/1MeEWN-I1oV_STSDYn1IFDPWt_1FKiwhDph83XaGc0o0/edit?usp=sharing"",""งบพรบ!DQ51"")"),0)</f>
        <v>0</v>
      </c>
      <c r="O285" s="870">
        <f t="shared" ca="1" si="126"/>
        <v>0</v>
      </c>
      <c r="P285" s="870">
        <f t="shared" ca="1" si="127"/>
        <v>0</v>
      </c>
      <c r="Q285" s="858"/>
      <c r="R285" s="858"/>
      <c r="S285" s="858"/>
      <c r="T285" s="858"/>
      <c r="U285" s="858"/>
      <c r="V285" s="858"/>
      <c r="W285" s="858"/>
      <c r="X285" s="858"/>
      <c r="Y285" s="858"/>
      <c r="Z285" s="858"/>
    </row>
    <row r="286" spans="1:26" ht="19.5">
      <c r="A286" s="982"/>
      <c r="B286" s="983"/>
      <c r="C286" s="979" t="s">
        <v>16</v>
      </c>
      <c r="D286" s="984" t="s">
        <v>38</v>
      </c>
      <c r="E286" s="985"/>
      <c r="F286" s="985"/>
      <c r="G286" s="986"/>
      <c r="H286" s="987"/>
      <c r="I286" s="977"/>
      <c r="J286" s="977"/>
      <c r="K286" s="978"/>
      <c r="L286" s="978"/>
      <c r="M286" s="978"/>
      <c r="N286" s="978"/>
      <c r="O286" s="978"/>
      <c r="P286" s="978"/>
    </row>
    <row r="287" spans="1:26" ht="18.75">
      <c r="A287" s="982"/>
      <c r="B287" s="983"/>
      <c r="C287" s="983"/>
      <c r="D287" s="994" t="s">
        <v>129</v>
      </c>
      <c r="E287" s="983"/>
      <c r="F287" s="990"/>
      <c r="G287" s="991"/>
      <c r="H287" s="185" t="s">
        <v>46</v>
      </c>
      <c r="I287" s="863">
        <f ca="1">IFERROR(__xludf.DUMMYFUNCTION("IMPORTRANGE(""https://docs.google.com/spreadsheets/d/1QqKyyYR6Q21VydFLVH3TRQUabQu_ym0Zz7PgGX0-kHA/edit?usp=sharing"",""แผน!EC51"")"),200)</f>
        <v>200</v>
      </c>
      <c r="J287" s="992">
        <v>200</v>
      </c>
      <c r="K287" s="978">
        <f t="shared" ref="K287:K288" ca="1" si="131">IF(I287&gt;0,J287*100/I287,0)</f>
        <v>100</v>
      </c>
      <c r="L287" s="978"/>
      <c r="M287" s="978"/>
      <c r="N287" s="978"/>
      <c r="O287" s="978"/>
      <c r="P287" s="978"/>
    </row>
    <row r="288" spans="1:26" ht="19.5">
      <c r="A288" s="982"/>
      <c r="B288" s="983"/>
      <c r="C288" s="983"/>
      <c r="D288" s="994" t="s">
        <v>130</v>
      </c>
      <c r="E288" s="983"/>
      <c r="F288" s="990"/>
      <c r="G288" s="991"/>
      <c r="H288" s="180" t="s">
        <v>35</v>
      </c>
      <c r="I288" s="999">
        <f ca="1">IFERROR(__xludf.DUMMYFUNCTION("IMPORTRANGE(""https://docs.google.com/spreadsheets/d/1QqKyyYR6Q21VydFLVH3TRQUabQu_ym0Zz7PgGX0-kHA/edit?usp=sharing"",""แผน!EB51"")"),20)</f>
        <v>20</v>
      </c>
      <c r="J288" s="999">
        <f ca="1">IF(AND(J291&gt;=I288,J294&gt;=I288),J294,0)</f>
        <v>0</v>
      </c>
      <c r="K288" s="1142">
        <f t="shared" ca="1" si="131"/>
        <v>0</v>
      </c>
      <c r="L288" s="978"/>
      <c r="M288" s="978"/>
      <c r="N288" s="978"/>
      <c r="O288" s="978"/>
      <c r="P288" s="978"/>
    </row>
    <row r="289" spans="1:26" ht="19.5">
      <c r="A289" s="982"/>
      <c r="B289" s="983"/>
      <c r="C289" s="983"/>
      <c r="D289" s="1143"/>
      <c r="E289" s="1144" t="s">
        <v>131</v>
      </c>
      <c r="F289" s="990"/>
      <c r="G289" s="991"/>
      <c r="H289" s="757"/>
      <c r="I289" s="977"/>
      <c r="J289" s="863"/>
      <c r="K289" s="978"/>
      <c r="L289" s="978"/>
      <c r="M289" s="978"/>
      <c r="N289" s="978"/>
      <c r="O289" s="978"/>
      <c r="P289" s="978"/>
    </row>
    <row r="290" spans="1:26" ht="19.5">
      <c r="A290" s="982"/>
      <c r="B290" s="983"/>
      <c r="C290" s="983"/>
      <c r="D290" s="1143"/>
      <c r="E290" s="994" t="s">
        <v>132</v>
      </c>
      <c r="F290" s="990"/>
      <c r="G290" s="991"/>
      <c r="H290" s="757" t="s">
        <v>35</v>
      </c>
      <c r="I290" s="977">
        <f ca="1">IFERROR(__xludf.DUMMYFUNCTION("IMPORTRANGE(""https://docs.google.com/spreadsheets/d/1QqKyyYR6Q21VydFLVH3TRQUabQu_ym0Zz7PgGX0-kHA/edit?usp=sharing"",""แผน!EB51"")"),20)</f>
        <v>20</v>
      </c>
      <c r="J290" s="992">
        <v>20</v>
      </c>
      <c r="K290" s="978">
        <f t="shared" ref="K290:K291" ca="1" si="132">IF(I290&gt;0,J290*100/I290,0)</f>
        <v>100</v>
      </c>
      <c r="L290" s="978"/>
      <c r="M290" s="978"/>
      <c r="N290" s="978"/>
      <c r="O290" s="978"/>
      <c r="P290" s="978"/>
    </row>
    <row r="291" spans="1:26" ht="19.5">
      <c r="A291" s="982"/>
      <c r="B291" s="983"/>
      <c r="C291" s="983"/>
      <c r="D291" s="990"/>
      <c r="E291" s="994" t="s">
        <v>133</v>
      </c>
      <c r="F291" s="990"/>
      <c r="G291" s="991"/>
      <c r="H291" s="757" t="s">
        <v>35</v>
      </c>
      <c r="I291" s="977">
        <f ca="1">IFERROR(__xludf.DUMMYFUNCTION("IMPORTRANGE(""https://docs.google.com/spreadsheets/d/1QqKyyYR6Q21VydFLVH3TRQUabQu_ym0Zz7PgGX0-kHA/edit?usp=sharing"",""แผน!EB51"")"),20)</f>
        <v>20</v>
      </c>
      <c r="J291" s="992">
        <v>20</v>
      </c>
      <c r="K291" s="978">
        <f t="shared" ca="1" si="132"/>
        <v>100</v>
      </c>
      <c r="L291" s="978"/>
      <c r="M291" s="978"/>
      <c r="N291" s="978"/>
      <c r="O291" s="978"/>
      <c r="P291" s="978"/>
    </row>
    <row r="292" spans="1:26" ht="19.5">
      <c r="A292" s="1145"/>
      <c r="B292" s="1146"/>
      <c r="C292" s="1146"/>
      <c r="D292" s="1147"/>
      <c r="E292" s="1148" t="s">
        <v>134</v>
      </c>
      <c r="F292" s="1067"/>
      <c r="G292" s="1068"/>
      <c r="H292" s="418"/>
      <c r="I292" s="1061"/>
      <c r="J292" s="970"/>
      <c r="K292" s="1062"/>
      <c r="L292" s="1062"/>
      <c r="M292" s="1062"/>
      <c r="N292" s="1062"/>
      <c r="O292" s="1062"/>
      <c r="P292" s="1062"/>
    </row>
    <row r="293" spans="1:26" ht="19.5">
      <c r="A293" s="982"/>
      <c r="B293" s="983"/>
      <c r="C293" s="983"/>
      <c r="D293" s="1143"/>
      <c r="E293" s="994" t="s">
        <v>132</v>
      </c>
      <c r="F293" s="990"/>
      <c r="G293" s="991"/>
      <c r="H293" s="757" t="s">
        <v>35</v>
      </c>
      <c r="I293" s="977">
        <f ca="1">IFERROR(__xludf.DUMMYFUNCTION("IMPORTRANGE(""https://docs.google.com/spreadsheets/d/1QqKyyYR6Q21VydFLVH3TRQUabQu_ym0Zz7PgGX0-kHA/edit?usp=sharing"",""แผน!EB51"")"),20)</f>
        <v>20</v>
      </c>
      <c r="J293" s="992">
        <v>0</v>
      </c>
      <c r="K293" s="978">
        <f t="shared" ref="K293:K294" ca="1" si="133">IF(I293&gt;0,J293*100/I293,0)</f>
        <v>0</v>
      </c>
      <c r="L293" s="978"/>
      <c r="M293" s="978"/>
      <c r="N293" s="978"/>
      <c r="O293" s="978"/>
      <c r="P293" s="978"/>
    </row>
    <row r="294" spans="1:26" ht="19.5">
      <c r="A294" s="1112"/>
      <c r="B294" s="1113"/>
      <c r="C294" s="1113"/>
      <c r="D294" s="1115"/>
      <c r="E294" s="1149" t="s">
        <v>136</v>
      </c>
      <c r="F294" s="1115"/>
      <c r="G294" s="1116"/>
      <c r="H294" s="422" t="s">
        <v>35</v>
      </c>
      <c r="I294" s="1150">
        <f ca="1">IFERROR(__xludf.DUMMYFUNCTION("IMPORTRANGE(""https://docs.google.com/spreadsheets/d/1QqKyyYR6Q21VydFLVH3TRQUabQu_ym0Zz7PgGX0-kHA/edit?usp=sharing"",""แผน!EB51"")"),20)</f>
        <v>20</v>
      </c>
      <c r="J294" s="1151">
        <v>0</v>
      </c>
      <c r="K294" s="1118">
        <f t="shared" ca="1" si="133"/>
        <v>0</v>
      </c>
      <c r="L294" s="1118"/>
      <c r="M294" s="1118"/>
      <c r="N294" s="1118"/>
      <c r="O294" s="1118"/>
      <c r="P294" s="1118"/>
    </row>
    <row r="295" spans="1:26" ht="19.5">
      <c r="A295" s="1152" t="s">
        <v>137</v>
      </c>
      <c r="B295" s="1153"/>
      <c r="C295" s="1153"/>
      <c r="D295" s="1153"/>
      <c r="E295" s="1154"/>
      <c r="F295" s="1154"/>
      <c r="G295" s="1155"/>
      <c r="H295" s="1156"/>
      <c r="I295" s="1157"/>
      <c r="J295" s="1157"/>
      <c r="K295" s="1158"/>
      <c r="L295" s="1158"/>
      <c r="M295" s="1158"/>
      <c r="N295" s="1158"/>
      <c r="O295" s="1158"/>
      <c r="P295" s="1158"/>
    </row>
    <row r="296" spans="1:26" ht="19.5">
      <c r="A296" s="1159" t="s">
        <v>138</v>
      </c>
      <c r="B296" s="1160"/>
      <c r="C296" s="1160"/>
      <c r="D296" s="1161"/>
      <c r="E296" s="1161"/>
      <c r="F296" s="1161"/>
      <c r="G296" s="1162"/>
      <c r="H296" s="1163"/>
      <c r="I296" s="1164"/>
      <c r="J296" s="1164"/>
      <c r="K296" s="1165"/>
      <c r="L296" s="1165"/>
      <c r="M296" s="1165"/>
      <c r="N296" s="1165"/>
      <c r="O296" s="1165"/>
      <c r="P296" s="1165"/>
    </row>
    <row r="297" spans="1:26" ht="19.5">
      <c r="A297" s="1166"/>
      <c r="B297" s="1167" t="s">
        <v>139</v>
      </c>
      <c r="C297" s="1168"/>
      <c r="D297" s="1168"/>
      <c r="E297" s="1168"/>
      <c r="F297" s="1168"/>
      <c r="G297" s="1169"/>
      <c r="H297" s="443" t="s">
        <v>35</v>
      </c>
      <c r="I297" s="1170">
        <f t="shared" ref="I297:J297" ca="1" si="134">I309</f>
        <v>20</v>
      </c>
      <c r="J297" s="1170">
        <f t="shared" si="134"/>
        <v>20</v>
      </c>
      <c r="K297" s="1171">
        <f ca="1">IF(I297&gt;0,J297*100/I297,0)</f>
        <v>100</v>
      </c>
      <c r="L297" s="1172"/>
      <c r="M297" s="1172"/>
      <c r="N297" s="1172"/>
      <c r="O297" s="1172"/>
      <c r="P297" s="1172"/>
    </row>
    <row r="298" spans="1:26" ht="19.5">
      <c r="A298" s="965"/>
      <c r="B298" s="966"/>
      <c r="C298" s="967" t="s">
        <v>16</v>
      </c>
      <c r="D298" s="968" t="s">
        <v>17</v>
      </c>
      <c r="E298" s="966"/>
      <c r="F298" s="966"/>
      <c r="G298" s="969"/>
      <c r="H298" s="152" t="s">
        <v>12</v>
      </c>
      <c r="I298" s="970"/>
      <c r="J298" s="970"/>
      <c r="K298" s="971"/>
      <c r="L298" s="972">
        <f t="shared" ref="L298:N298" ca="1" si="135">L299+L300</f>
        <v>368400</v>
      </c>
      <c r="M298" s="972">
        <f t="shared" ca="1" si="135"/>
        <v>272400</v>
      </c>
      <c r="N298" s="972">
        <f t="shared" ca="1" si="135"/>
        <v>163495.1</v>
      </c>
      <c r="O298" s="972">
        <f t="shared" ref="O298:O306" ca="1" si="136">IF(L298&gt;0,N298*100/L298,0)</f>
        <v>44.379777415852331</v>
      </c>
      <c r="P298" s="972">
        <f t="shared" ref="P298:P306" ca="1" si="137">IF(M298&gt;0,N298*100/M298,0)</f>
        <v>60.020227606461084</v>
      </c>
      <c r="Q298" s="851"/>
      <c r="R298" s="851"/>
      <c r="S298" s="851"/>
      <c r="T298" s="851"/>
      <c r="U298" s="851"/>
      <c r="V298" s="851"/>
      <c r="W298" s="851"/>
      <c r="X298" s="851"/>
      <c r="Y298" s="851"/>
      <c r="Z298" s="851"/>
    </row>
    <row r="299" spans="1:26" ht="18.75" hidden="1">
      <c r="A299" s="973"/>
      <c r="B299" s="866"/>
      <c r="C299" s="866"/>
      <c r="D299" s="866"/>
      <c r="E299" s="867" t="s">
        <v>18</v>
      </c>
      <c r="F299" s="866"/>
      <c r="G299" s="974"/>
      <c r="H299" s="158" t="s">
        <v>12</v>
      </c>
      <c r="I299" s="869"/>
      <c r="J299" s="869"/>
      <c r="K299" s="870"/>
      <c r="L299" s="870">
        <f t="shared" ref="L299:N300" si="138">L302+L305</f>
        <v>0</v>
      </c>
      <c r="M299" s="870">
        <f t="shared" si="138"/>
        <v>0</v>
      </c>
      <c r="N299" s="870">
        <f t="shared" si="138"/>
        <v>0</v>
      </c>
      <c r="O299" s="870">
        <f t="shared" si="136"/>
        <v>0</v>
      </c>
      <c r="P299" s="870">
        <f t="shared" si="137"/>
        <v>0</v>
      </c>
      <c r="Q299" s="858"/>
      <c r="R299" s="858"/>
      <c r="S299" s="858"/>
      <c r="T299" s="858"/>
      <c r="U299" s="858"/>
      <c r="V299" s="858"/>
      <c r="W299" s="858"/>
      <c r="X299" s="858"/>
      <c r="Y299" s="858"/>
      <c r="Z299" s="858"/>
    </row>
    <row r="300" spans="1:26" ht="18.75" hidden="1">
      <c r="A300" s="973"/>
      <c r="B300" s="866"/>
      <c r="C300" s="866"/>
      <c r="D300" s="866"/>
      <c r="E300" s="867" t="s">
        <v>19</v>
      </c>
      <c r="F300" s="866"/>
      <c r="G300" s="974"/>
      <c r="H300" s="158" t="s">
        <v>12</v>
      </c>
      <c r="I300" s="869"/>
      <c r="J300" s="869"/>
      <c r="K300" s="870"/>
      <c r="L300" s="870">
        <f t="shared" ca="1" si="138"/>
        <v>368400</v>
      </c>
      <c r="M300" s="870">
        <f t="shared" ca="1" si="138"/>
        <v>272400</v>
      </c>
      <c r="N300" s="870">
        <f t="shared" ca="1" si="138"/>
        <v>163495.1</v>
      </c>
      <c r="O300" s="870">
        <f t="shared" ca="1" si="136"/>
        <v>44.379777415852331</v>
      </c>
      <c r="P300" s="870">
        <f t="shared" ca="1" si="137"/>
        <v>60.020227606461084</v>
      </c>
      <c r="Q300" s="858"/>
      <c r="R300" s="858"/>
      <c r="S300" s="858"/>
      <c r="T300" s="858"/>
      <c r="U300" s="858"/>
      <c r="V300" s="858"/>
      <c r="W300" s="858"/>
      <c r="X300" s="858"/>
      <c r="Y300" s="858"/>
      <c r="Z300" s="858"/>
    </row>
    <row r="301" spans="1:26" ht="18.75">
      <c r="A301" s="975"/>
      <c r="B301" s="860"/>
      <c r="C301" s="976"/>
      <c r="D301" s="861" t="s">
        <v>20</v>
      </c>
      <c r="E301" s="860"/>
      <c r="F301" s="860"/>
      <c r="G301" s="862"/>
      <c r="H301" s="161" t="s">
        <v>12</v>
      </c>
      <c r="I301" s="977"/>
      <c r="J301" s="977"/>
      <c r="K301" s="978"/>
      <c r="L301" s="864">
        <f t="shared" ref="L301:N301" ca="1" si="139">L302+L303</f>
        <v>368400</v>
      </c>
      <c r="M301" s="864">
        <f t="shared" ca="1" si="139"/>
        <v>272400</v>
      </c>
      <c r="N301" s="864">
        <f t="shared" ca="1" si="139"/>
        <v>163495.1</v>
      </c>
      <c r="O301" s="864">
        <f t="shared" ca="1" si="136"/>
        <v>44.379777415852331</v>
      </c>
      <c r="P301" s="864">
        <f t="shared" ca="1" si="137"/>
        <v>60.020227606461084</v>
      </c>
      <c r="Q301" s="851"/>
      <c r="R301" s="851"/>
      <c r="S301" s="851"/>
      <c r="T301" s="851"/>
      <c r="U301" s="851"/>
      <c r="V301" s="851"/>
      <c r="W301" s="851"/>
      <c r="X301" s="851"/>
      <c r="Y301" s="851"/>
      <c r="Z301" s="851"/>
    </row>
    <row r="302" spans="1:26" ht="19.5" hidden="1">
      <c r="A302" s="973"/>
      <c r="B302" s="866"/>
      <c r="C302" s="979"/>
      <c r="D302" s="866"/>
      <c r="E302" s="867" t="s">
        <v>36</v>
      </c>
      <c r="F302" s="866"/>
      <c r="G302" s="974"/>
      <c r="H302" s="165" t="s">
        <v>12</v>
      </c>
      <c r="I302" s="980"/>
      <c r="J302" s="980"/>
      <c r="K302" s="981"/>
      <c r="L302" s="870">
        <v>0</v>
      </c>
      <c r="M302" s="870">
        <v>0</v>
      </c>
      <c r="N302" s="870">
        <v>0</v>
      </c>
      <c r="O302" s="870">
        <f t="shared" si="136"/>
        <v>0</v>
      </c>
      <c r="P302" s="870">
        <f t="shared" si="137"/>
        <v>0</v>
      </c>
      <c r="Q302" s="858"/>
      <c r="R302" s="858"/>
      <c r="S302" s="858"/>
      <c r="T302" s="858"/>
      <c r="U302" s="858"/>
      <c r="V302" s="858"/>
      <c r="W302" s="858"/>
      <c r="X302" s="858"/>
      <c r="Y302" s="858"/>
      <c r="Z302" s="858"/>
    </row>
    <row r="303" spans="1:26" ht="19.5" hidden="1">
      <c r="A303" s="973"/>
      <c r="B303" s="866"/>
      <c r="C303" s="979"/>
      <c r="D303" s="866"/>
      <c r="E303" s="867" t="s">
        <v>37</v>
      </c>
      <c r="F303" s="866"/>
      <c r="G303" s="974"/>
      <c r="H303" s="165" t="s">
        <v>12</v>
      </c>
      <c r="I303" s="980"/>
      <c r="J303" s="980"/>
      <c r="K303" s="981"/>
      <c r="L303" s="870">
        <f ca="1">IFERROR(__xludf.DUMMYFUNCTION("IMPORTRANGE(""https://docs.google.com/spreadsheets/d/1MeEWN-I1oV_STSDYn1IFDPWt_1FKiwhDph83XaGc0o0/edit?usp=sharing"",""งบพรบ!DS51"")"),368400)</f>
        <v>368400</v>
      </c>
      <c r="M303" s="870">
        <f ca="1">IFERROR(__xludf.DUMMYFUNCTION("IMPORTRANGE(""https://docs.google.com/spreadsheets/d/1MeEWN-I1oV_STSDYn1IFDPWt_1FKiwhDph83XaGc0o0/edit?usp=sharing"",""งบพรบ!DX51"")"),272400)</f>
        <v>272400</v>
      </c>
      <c r="N303" s="870">
        <f ca="1">IFERROR(__xludf.DUMMYFUNCTION("IMPORTRANGE(""https://docs.google.com/spreadsheets/d/1MeEWN-I1oV_STSDYn1IFDPWt_1FKiwhDph83XaGc0o0/edit?usp=sharing"",""งบพรบ!DZ51"")"),163495.1)</f>
        <v>163495.1</v>
      </c>
      <c r="O303" s="870">
        <f t="shared" ca="1" si="136"/>
        <v>44.379777415852331</v>
      </c>
      <c r="P303" s="870">
        <f t="shared" ca="1" si="137"/>
        <v>60.020227606461084</v>
      </c>
      <c r="Q303" s="858"/>
      <c r="R303" s="858"/>
      <c r="S303" s="858"/>
      <c r="T303" s="858"/>
      <c r="U303" s="858"/>
      <c r="V303" s="858"/>
      <c r="W303" s="858"/>
      <c r="X303" s="858"/>
      <c r="Y303" s="858"/>
      <c r="Z303" s="858"/>
    </row>
    <row r="304" spans="1:26" ht="18.75">
      <c r="A304" s="975"/>
      <c r="B304" s="860"/>
      <c r="C304" s="976"/>
      <c r="D304" s="861" t="s">
        <v>21</v>
      </c>
      <c r="E304" s="860"/>
      <c r="F304" s="860"/>
      <c r="G304" s="862"/>
      <c r="H304" s="168" t="s">
        <v>12</v>
      </c>
      <c r="I304" s="977"/>
      <c r="J304" s="977"/>
      <c r="K304" s="978"/>
      <c r="L304" s="864">
        <f t="shared" ref="L304:N304" ca="1" si="140">L305+L306</f>
        <v>0</v>
      </c>
      <c r="M304" s="864">
        <f t="shared" ca="1" si="140"/>
        <v>0</v>
      </c>
      <c r="N304" s="864">
        <f t="shared" ca="1" si="140"/>
        <v>0</v>
      </c>
      <c r="O304" s="864">
        <f t="shared" ca="1" si="136"/>
        <v>0</v>
      </c>
      <c r="P304" s="864">
        <f t="shared" ca="1" si="137"/>
        <v>0</v>
      </c>
      <c r="Q304" s="851"/>
      <c r="R304" s="851"/>
      <c r="S304" s="851"/>
      <c r="T304" s="851"/>
      <c r="U304" s="851"/>
      <c r="V304" s="851"/>
      <c r="W304" s="851"/>
      <c r="X304" s="851"/>
      <c r="Y304" s="851"/>
      <c r="Z304" s="851"/>
    </row>
    <row r="305" spans="1:26" ht="19.5" hidden="1">
      <c r="A305" s="973"/>
      <c r="B305" s="866"/>
      <c r="C305" s="979"/>
      <c r="D305" s="866"/>
      <c r="E305" s="867" t="s">
        <v>18</v>
      </c>
      <c r="F305" s="866"/>
      <c r="G305" s="974"/>
      <c r="H305" s="165" t="s">
        <v>12</v>
      </c>
      <c r="I305" s="980"/>
      <c r="J305" s="980"/>
      <c r="K305" s="981"/>
      <c r="L305" s="870">
        <v>0</v>
      </c>
      <c r="M305" s="870">
        <v>0</v>
      </c>
      <c r="N305" s="870">
        <v>0</v>
      </c>
      <c r="O305" s="870">
        <f t="shared" si="136"/>
        <v>0</v>
      </c>
      <c r="P305" s="870">
        <f t="shared" si="137"/>
        <v>0</v>
      </c>
      <c r="Q305" s="858"/>
      <c r="R305" s="858"/>
      <c r="S305" s="858"/>
      <c r="T305" s="858"/>
      <c r="U305" s="858"/>
      <c r="V305" s="858"/>
      <c r="W305" s="858"/>
      <c r="X305" s="858"/>
      <c r="Y305" s="858"/>
      <c r="Z305" s="858"/>
    </row>
    <row r="306" spans="1:26" ht="19.5" hidden="1">
      <c r="A306" s="973"/>
      <c r="B306" s="866"/>
      <c r="C306" s="979"/>
      <c r="D306" s="866"/>
      <c r="E306" s="867" t="s">
        <v>19</v>
      </c>
      <c r="F306" s="866"/>
      <c r="G306" s="974"/>
      <c r="H306" s="169" t="s">
        <v>12</v>
      </c>
      <c r="I306" s="980"/>
      <c r="J306" s="980"/>
      <c r="K306" s="981"/>
      <c r="L306" s="870">
        <f ca="1">IFERROR(__xludf.DUMMYFUNCTION("IMPORTRANGE(""https://docs.google.com/spreadsheets/d/1MeEWN-I1oV_STSDYn1IFDPWt_1FKiwhDph83XaGc0o0/edit?usp=sharing"",""งบพรบ!DV51"")"),0)</f>
        <v>0</v>
      </c>
      <c r="M306" s="870">
        <f ca="1">IFERROR(__xludf.DUMMYFUNCTION("IMPORTRANGE(""https://docs.google.com/spreadsheets/d/1MeEWN-I1oV_STSDYn1IFDPWt_1FKiwhDph83XaGc0o0/edit?usp=sharing"",""งบพรบ!DY51"")"),0)</f>
        <v>0</v>
      </c>
      <c r="N306" s="870">
        <f ca="1">IFERROR(__xludf.DUMMYFUNCTION("IMPORTRANGE(""https://docs.google.com/spreadsheets/d/1MeEWN-I1oV_STSDYn1IFDPWt_1FKiwhDph83XaGc0o0/edit?usp=sharing"",""งบพรบ!EA51"")"),0)</f>
        <v>0</v>
      </c>
      <c r="O306" s="870">
        <f t="shared" ca="1" si="136"/>
        <v>0</v>
      </c>
      <c r="P306" s="870">
        <f t="shared" ca="1" si="137"/>
        <v>0</v>
      </c>
      <c r="Q306" s="858"/>
      <c r="R306" s="858"/>
      <c r="S306" s="858"/>
      <c r="T306" s="858"/>
      <c r="U306" s="858"/>
      <c r="V306" s="858"/>
      <c r="W306" s="858"/>
      <c r="X306" s="858"/>
      <c r="Y306" s="858"/>
      <c r="Z306" s="858"/>
    </row>
    <row r="307" spans="1:26" ht="19.5">
      <c r="A307" s="982"/>
      <c r="B307" s="983"/>
      <c r="C307" s="979" t="s">
        <v>16</v>
      </c>
      <c r="D307" s="984" t="s">
        <v>38</v>
      </c>
      <c r="E307" s="985"/>
      <c r="F307" s="985"/>
      <c r="G307" s="986"/>
      <c r="H307" s="987"/>
      <c r="I307" s="863"/>
      <c r="J307" s="863"/>
      <c r="K307" s="864"/>
      <c r="L307" s="864"/>
      <c r="M307" s="864"/>
      <c r="N307" s="864"/>
      <c r="O307" s="864"/>
      <c r="P307" s="864"/>
    </row>
    <row r="308" spans="1:26" ht="18.75">
      <c r="A308" s="982"/>
      <c r="B308" s="983"/>
      <c r="C308" s="983"/>
      <c r="D308" s="989" t="s">
        <v>140</v>
      </c>
      <c r="E308" s="989"/>
      <c r="F308" s="989"/>
      <c r="G308" s="991"/>
      <c r="H308" s="757"/>
      <c r="I308" s="863"/>
      <c r="J308" s="992">
        <v>1</v>
      </c>
      <c r="K308" s="864"/>
      <c r="L308" s="864"/>
      <c r="M308" s="864"/>
      <c r="N308" s="864"/>
      <c r="O308" s="864"/>
      <c r="P308" s="864"/>
    </row>
    <row r="309" spans="1:26" ht="18.75">
      <c r="A309" s="982"/>
      <c r="B309" s="983"/>
      <c r="C309" s="983"/>
      <c r="D309" s="989" t="s">
        <v>141</v>
      </c>
      <c r="E309" s="989"/>
      <c r="F309" s="989"/>
      <c r="G309" s="991"/>
      <c r="H309" s="757" t="s">
        <v>35</v>
      </c>
      <c r="I309" s="863">
        <f ca="1">IFERROR(__xludf.DUMMYFUNCTION("IMPORTRANGE(""https://docs.google.com/spreadsheets/d/1QqKyyYR6Q21VydFLVH3TRQUabQu_ym0Zz7PgGX0-kHA/edit?usp=sharing"",""แผน!ED51"")"),20)</f>
        <v>20</v>
      </c>
      <c r="J309" s="992">
        <v>20</v>
      </c>
      <c r="K309" s="864">
        <f t="shared" ref="K309:K312" ca="1" si="141">IF(I309&gt;0,J309*100/I309,0)</f>
        <v>100</v>
      </c>
      <c r="L309" s="864"/>
      <c r="M309" s="864"/>
      <c r="N309" s="864"/>
      <c r="O309" s="864"/>
      <c r="P309" s="864"/>
    </row>
    <row r="310" spans="1:26" ht="18.75">
      <c r="A310" s="982"/>
      <c r="B310" s="983"/>
      <c r="C310" s="983"/>
      <c r="D310" s="989" t="s">
        <v>142</v>
      </c>
      <c r="E310" s="989"/>
      <c r="F310" s="989"/>
      <c r="G310" s="991"/>
      <c r="H310" s="757" t="s">
        <v>35</v>
      </c>
      <c r="I310" s="863">
        <f ca="1">IFERROR(__xludf.DUMMYFUNCTION("IMPORTRANGE(""https://docs.google.com/spreadsheets/d/1QqKyyYR6Q21VydFLVH3TRQUabQu_ym0Zz7PgGX0-kHA/edit?usp=sharing"",""แผน!ED51"")"),20)</f>
        <v>20</v>
      </c>
      <c r="J310" s="992">
        <v>0</v>
      </c>
      <c r="K310" s="864">
        <f t="shared" ca="1" si="141"/>
        <v>0</v>
      </c>
      <c r="L310" s="864"/>
      <c r="M310" s="864"/>
      <c r="N310" s="864"/>
      <c r="O310" s="864"/>
      <c r="P310" s="864"/>
    </row>
    <row r="311" spans="1:26" ht="18.75">
      <c r="A311" s="982"/>
      <c r="B311" s="983"/>
      <c r="C311" s="983"/>
      <c r="D311" s="989" t="s">
        <v>59</v>
      </c>
      <c r="E311" s="989"/>
      <c r="F311" s="989"/>
      <c r="G311" s="991"/>
      <c r="H311" s="757" t="s">
        <v>35</v>
      </c>
      <c r="I311" s="863">
        <f ca="1">IFERROR(__xludf.DUMMYFUNCTION("IMPORTRANGE(""https://docs.google.com/spreadsheets/d/1QqKyyYR6Q21VydFLVH3TRQUabQu_ym0Zz7PgGX0-kHA/edit?usp=sharing"",""แผน!ED51"")"),20)</f>
        <v>20</v>
      </c>
      <c r="J311" s="992">
        <v>0</v>
      </c>
      <c r="K311" s="864">
        <f t="shared" ca="1" si="141"/>
        <v>0</v>
      </c>
      <c r="L311" s="864"/>
      <c r="M311" s="864"/>
      <c r="N311" s="864"/>
      <c r="O311" s="864"/>
      <c r="P311" s="864"/>
    </row>
    <row r="312" spans="1:26" ht="18.75">
      <c r="A312" s="982"/>
      <c r="B312" s="983"/>
      <c r="C312" s="983"/>
      <c r="D312" s="989" t="s">
        <v>143</v>
      </c>
      <c r="E312" s="989"/>
      <c r="F312" s="989"/>
      <c r="G312" s="991"/>
      <c r="H312" s="757" t="s">
        <v>35</v>
      </c>
      <c r="I312" s="863">
        <f ca="1">IFERROR(__xludf.DUMMYFUNCTION("IMPORTRANGE(""https://docs.google.com/spreadsheets/d/1QqKyyYR6Q21VydFLVH3TRQUabQu_ym0Zz7PgGX0-kHA/edit?usp=sharing"",""แผน!EE51"")"),4)</f>
        <v>4</v>
      </c>
      <c r="J312" s="992">
        <v>0</v>
      </c>
      <c r="K312" s="864">
        <f t="shared" ca="1" si="141"/>
        <v>0</v>
      </c>
      <c r="L312" s="864"/>
      <c r="M312" s="864"/>
      <c r="N312" s="864"/>
      <c r="O312" s="864"/>
      <c r="P312" s="864"/>
    </row>
    <row r="313" spans="1:26" ht="19.5" hidden="1">
      <c r="A313" s="1159" t="s">
        <v>144</v>
      </c>
      <c r="B313" s="1160"/>
      <c r="C313" s="1160"/>
      <c r="D313" s="1161"/>
      <c r="E313" s="1160"/>
      <c r="F313" s="1160"/>
      <c r="G313" s="1160"/>
      <c r="H313" s="1173"/>
      <c r="I313" s="1164"/>
      <c r="J313" s="1164"/>
      <c r="K313" s="1165"/>
      <c r="L313" s="1165"/>
      <c r="M313" s="1165"/>
      <c r="N313" s="1165"/>
      <c r="O313" s="1165"/>
      <c r="P313" s="1165"/>
    </row>
    <row r="314" spans="1:26" ht="19.5" hidden="1">
      <c r="A314" s="1174"/>
      <c r="B314" s="1167" t="s">
        <v>145</v>
      </c>
      <c r="C314" s="1175"/>
      <c r="D314" s="1176"/>
      <c r="E314" s="1168"/>
      <c r="F314" s="1168"/>
      <c r="G314" s="1169"/>
      <c r="H314" s="443" t="s">
        <v>146</v>
      </c>
      <c r="I314" s="1170">
        <f t="shared" ref="I314:J314" ca="1" si="142">I325</f>
        <v>0</v>
      </c>
      <c r="J314" s="1170">
        <f t="shared" si="142"/>
        <v>0</v>
      </c>
      <c r="K314" s="1171">
        <f ca="1">IF(I314&gt;0,J314*100/I314,0)</f>
        <v>0</v>
      </c>
      <c r="L314" s="1172"/>
      <c r="M314" s="1172"/>
      <c r="N314" s="1172"/>
      <c r="O314" s="1172"/>
      <c r="P314" s="1172"/>
    </row>
    <row r="315" spans="1:26" ht="19.5" hidden="1">
      <c r="A315" s="965"/>
      <c r="B315" s="966"/>
      <c r="C315" s="967" t="s">
        <v>16</v>
      </c>
      <c r="D315" s="968" t="s">
        <v>17</v>
      </c>
      <c r="E315" s="966"/>
      <c r="F315" s="966"/>
      <c r="G315" s="969"/>
      <c r="H315" s="152" t="s">
        <v>12</v>
      </c>
      <c r="I315" s="970"/>
      <c r="J315" s="970"/>
      <c r="K315" s="971"/>
      <c r="L315" s="972">
        <f t="shared" ref="L315:N315" ca="1" si="143">L316+L317</f>
        <v>0</v>
      </c>
      <c r="M315" s="972">
        <f t="shared" ca="1" si="143"/>
        <v>0</v>
      </c>
      <c r="N315" s="972">
        <f t="shared" ca="1" si="143"/>
        <v>0</v>
      </c>
      <c r="O315" s="972">
        <f t="shared" ref="O315:O323" ca="1" si="144">IF(L315&gt;0,N315*100/L315,0)</f>
        <v>0</v>
      </c>
      <c r="P315" s="972">
        <f t="shared" ref="P315:P323" ca="1" si="145">IF(M315&gt;0,N315*100/M315,0)</f>
        <v>0</v>
      </c>
      <c r="Q315" s="851"/>
      <c r="R315" s="851"/>
      <c r="S315" s="851"/>
      <c r="T315" s="851"/>
      <c r="U315" s="851"/>
      <c r="V315" s="851"/>
      <c r="W315" s="851"/>
      <c r="X315" s="851"/>
      <c r="Y315" s="851"/>
      <c r="Z315" s="851"/>
    </row>
    <row r="316" spans="1:26" ht="18.75" hidden="1">
      <c r="A316" s="973"/>
      <c r="B316" s="866"/>
      <c r="C316" s="866"/>
      <c r="D316" s="866"/>
      <c r="E316" s="867" t="s">
        <v>18</v>
      </c>
      <c r="F316" s="866"/>
      <c r="G316" s="974"/>
      <c r="H316" s="158" t="s">
        <v>12</v>
      </c>
      <c r="I316" s="869"/>
      <c r="J316" s="869"/>
      <c r="K316" s="870"/>
      <c r="L316" s="870">
        <f t="shared" ref="L316:N317" si="146">L319+L322</f>
        <v>0</v>
      </c>
      <c r="M316" s="870">
        <f t="shared" si="146"/>
        <v>0</v>
      </c>
      <c r="N316" s="870">
        <f t="shared" si="146"/>
        <v>0</v>
      </c>
      <c r="O316" s="870">
        <f t="shared" si="144"/>
        <v>0</v>
      </c>
      <c r="P316" s="870">
        <f t="shared" si="145"/>
        <v>0</v>
      </c>
      <c r="Q316" s="858"/>
      <c r="R316" s="858"/>
      <c r="S316" s="858"/>
      <c r="T316" s="858"/>
      <c r="U316" s="858"/>
      <c r="V316" s="858"/>
      <c r="W316" s="858"/>
      <c r="X316" s="858"/>
      <c r="Y316" s="858"/>
      <c r="Z316" s="858"/>
    </row>
    <row r="317" spans="1:26" ht="18.75" hidden="1">
      <c r="A317" s="973"/>
      <c r="B317" s="866"/>
      <c r="C317" s="866"/>
      <c r="D317" s="866"/>
      <c r="E317" s="867" t="s">
        <v>19</v>
      </c>
      <c r="F317" s="866"/>
      <c r="G317" s="974"/>
      <c r="H317" s="158" t="s">
        <v>12</v>
      </c>
      <c r="I317" s="869"/>
      <c r="J317" s="869"/>
      <c r="K317" s="870"/>
      <c r="L317" s="870">
        <f t="shared" ca="1" si="146"/>
        <v>0</v>
      </c>
      <c r="M317" s="870">
        <f t="shared" ca="1" si="146"/>
        <v>0</v>
      </c>
      <c r="N317" s="870">
        <f t="shared" ca="1" si="146"/>
        <v>0</v>
      </c>
      <c r="O317" s="870">
        <f t="shared" ca="1" si="144"/>
        <v>0</v>
      </c>
      <c r="P317" s="870">
        <f t="shared" ca="1" si="145"/>
        <v>0</v>
      </c>
      <c r="Q317" s="858"/>
      <c r="R317" s="858"/>
      <c r="S317" s="858"/>
      <c r="T317" s="858"/>
      <c r="U317" s="858"/>
      <c r="V317" s="858"/>
      <c r="W317" s="858"/>
      <c r="X317" s="858"/>
      <c r="Y317" s="858"/>
      <c r="Z317" s="858"/>
    </row>
    <row r="318" spans="1:26" ht="18.75" hidden="1">
      <c r="A318" s="975"/>
      <c r="B318" s="860"/>
      <c r="C318" s="976"/>
      <c r="D318" s="861" t="s">
        <v>20</v>
      </c>
      <c r="E318" s="860"/>
      <c r="F318" s="860"/>
      <c r="G318" s="862"/>
      <c r="H318" s="161" t="s">
        <v>12</v>
      </c>
      <c r="I318" s="977"/>
      <c r="J318" s="977"/>
      <c r="K318" s="978"/>
      <c r="L318" s="864">
        <f t="shared" ref="L318:N318" ca="1" si="147">L319+L320</f>
        <v>0</v>
      </c>
      <c r="M318" s="864">
        <f t="shared" ca="1" si="147"/>
        <v>0</v>
      </c>
      <c r="N318" s="864">
        <f t="shared" ca="1" si="147"/>
        <v>0</v>
      </c>
      <c r="O318" s="864">
        <f t="shared" ca="1" si="144"/>
        <v>0</v>
      </c>
      <c r="P318" s="864">
        <f t="shared" ca="1" si="145"/>
        <v>0</v>
      </c>
      <c r="Q318" s="851"/>
      <c r="R318" s="851"/>
      <c r="S318" s="851"/>
      <c r="T318" s="851"/>
      <c r="U318" s="851"/>
      <c r="V318" s="851"/>
      <c r="W318" s="851"/>
      <c r="X318" s="851"/>
      <c r="Y318" s="851"/>
      <c r="Z318" s="851"/>
    </row>
    <row r="319" spans="1:26" ht="19.5" hidden="1">
      <c r="A319" s="973"/>
      <c r="B319" s="866"/>
      <c r="C319" s="979"/>
      <c r="D319" s="866"/>
      <c r="E319" s="867" t="s">
        <v>36</v>
      </c>
      <c r="F319" s="866"/>
      <c r="G319" s="974"/>
      <c r="H319" s="165" t="s">
        <v>12</v>
      </c>
      <c r="I319" s="980"/>
      <c r="J319" s="980"/>
      <c r="K319" s="981"/>
      <c r="L319" s="870">
        <v>0</v>
      </c>
      <c r="M319" s="870">
        <v>0</v>
      </c>
      <c r="N319" s="870">
        <v>0</v>
      </c>
      <c r="O319" s="870">
        <f t="shared" si="144"/>
        <v>0</v>
      </c>
      <c r="P319" s="870">
        <f t="shared" si="145"/>
        <v>0</v>
      </c>
      <c r="Q319" s="858"/>
      <c r="R319" s="858"/>
      <c r="S319" s="858"/>
      <c r="T319" s="858"/>
      <c r="U319" s="858"/>
      <c r="V319" s="858"/>
      <c r="W319" s="858"/>
      <c r="X319" s="858"/>
      <c r="Y319" s="858"/>
      <c r="Z319" s="858"/>
    </row>
    <row r="320" spans="1:26" ht="19.5" hidden="1">
      <c r="A320" s="973"/>
      <c r="B320" s="866"/>
      <c r="C320" s="979"/>
      <c r="D320" s="866"/>
      <c r="E320" s="867" t="s">
        <v>37</v>
      </c>
      <c r="F320" s="866"/>
      <c r="G320" s="974"/>
      <c r="H320" s="165" t="s">
        <v>12</v>
      </c>
      <c r="I320" s="980"/>
      <c r="J320" s="980"/>
      <c r="K320" s="981"/>
      <c r="L320" s="870">
        <f ca="1">IFERROR(__xludf.DUMMYFUNCTION("IMPORTRANGE(""https://docs.google.com/spreadsheets/d/1MeEWN-I1oV_STSDYn1IFDPWt_1FKiwhDph83XaGc0o0/edit?usp=sharing"",""งบพรบ!EC51"")"),0)</f>
        <v>0</v>
      </c>
      <c r="M320" s="870">
        <f ca="1">IFERROR(__xludf.DUMMYFUNCTION("IMPORTRANGE(""https://docs.google.com/spreadsheets/d/1MeEWN-I1oV_STSDYn1IFDPWt_1FKiwhDph83XaGc0o0/edit?usp=sharing"",""งบพรบ!EH51"")"),0)</f>
        <v>0</v>
      </c>
      <c r="N320" s="870">
        <f ca="1">IFERROR(__xludf.DUMMYFUNCTION("IMPORTRANGE(""https://docs.google.com/spreadsheets/d/1MeEWN-I1oV_STSDYn1IFDPWt_1FKiwhDph83XaGc0o0/edit?usp=sharing"",""งบพรบ!EJ51"")"),0)</f>
        <v>0</v>
      </c>
      <c r="O320" s="870">
        <f t="shared" ca="1" si="144"/>
        <v>0</v>
      </c>
      <c r="P320" s="870">
        <f t="shared" ca="1" si="145"/>
        <v>0</v>
      </c>
      <c r="Q320" s="858"/>
      <c r="R320" s="858"/>
      <c r="S320" s="858"/>
      <c r="T320" s="858"/>
      <c r="U320" s="858"/>
      <c r="V320" s="858"/>
      <c r="W320" s="858"/>
      <c r="X320" s="858"/>
      <c r="Y320" s="858"/>
      <c r="Z320" s="858"/>
    </row>
    <row r="321" spans="1:26" ht="18.75" hidden="1">
      <c r="A321" s="975"/>
      <c r="B321" s="860"/>
      <c r="C321" s="976"/>
      <c r="D321" s="861" t="s">
        <v>21</v>
      </c>
      <c r="E321" s="860"/>
      <c r="F321" s="860"/>
      <c r="G321" s="862"/>
      <c r="H321" s="168" t="s">
        <v>12</v>
      </c>
      <c r="I321" s="977"/>
      <c r="J321" s="977"/>
      <c r="K321" s="978"/>
      <c r="L321" s="864">
        <f t="shared" ref="L321:N321" ca="1" si="148">L322+L323</f>
        <v>0</v>
      </c>
      <c r="M321" s="864">
        <f t="shared" ca="1" si="148"/>
        <v>0</v>
      </c>
      <c r="N321" s="864">
        <f t="shared" ca="1" si="148"/>
        <v>0</v>
      </c>
      <c r="O321" s="864">
        <f t="shared" ca="1" si="144"/>
        <v>0</v>
      </c>
      <c r="P321" s="864">
        <f t="shared" ca="1" si="145"/>
        <v>0</v>
      </c>
      <c r="Q321" s="851"/>
      <c r="R321" s="851"/>
      <c r="S321" s="851"/>
      <c r="T321" s="851"/>
      <c r="U321" s="851"/>
      <c r="V321" s="851"/>
      <c r="W321" s="851"/>
      <c r="X321" s="851"/>
      <c r="Y321" s="851"/>
      <c r="Z321" s="851"/>
    </row>
    <row r="322" spans="1:26" ht="19.5" hidden="1">
      <c r="A322" s="973"/>
      <c r="B322" s="866"/>
      <c r="C322" s="979"/>
      <c r="D322" s="866"/>
      <c r="E322" s="867" t="s">
        <v>18</v>
      </c>
      <c r="F322" s="866"/>
      <c r="G322" s="974"/>
      <c r="H322" s="165" t="s">
        <v>12</v>
      </c>
      <c r="I322" s="980"/>
      <c r="J322" s="980"/>
      <c r="K322" s="981"/>
      <c r="L322" s="870">
        <v>0</v>
      </c>
      <c r="M322" s="870">
        <v>0</v>
      </c>
      <c r="N322" s="870">
        <v>0</v>
      </c>
      <c r="O322" s="870">
        <f t="shared" si="144"/>
        <v>0</v>
      </c>
      <c r="P322" s="870">
        <f t="shared" si="145"/>
        <v>0</v>
      </c>
      <c r="Q322" s="858"/>
      <c r="R322" s="858"/>
      <c r="S322" s="858"/>
      <c r="T322" s="858"/>
      <c r="U322" s="858"/>
      <c r="V322" s="858"/>
      <c r="W322" s="858"/>
      <c r="X322" s="858"/>
      <c r="Y322" s="858"/>
      <c r="Z322" s="858"/>
    </row>
    <row r="323" spans="1:26" ht="19.5" hidden="1">
      <c r="A323" s="973"/>
      <c r="B323" s="866"/>
      <c r="C323" s="979"/>
      <c r="D323" s="866"/>
      <c r="E323" s="867" t="s">
        <v>19</v>
      </c>
      <c r="F323" s="866"/>
      <c r="G323" s="974"/>
      <c r="H323" s="169" t="s">
        <v>12</v>
      </c>
      <c r="I323" s="980"/>
      <c r="J323" s="980"/>
      <c r="K323" s="981"/>
      <c r="L323" s="870">
        <f ca="1">IFERROR(__xludf.DUMMYFUNCTION("IMPORTRANGE(""https://docs.google.com/spreadsheets/d/1MeEWN-I1oV_STSDYn1IFDPWt_1FKiwhDph83XaGc0o0/edit?usp=sharing"",""งบพรบ!EF51"")"),0)</f>
        <v>0</v>
      </c>
      <c r="M323" s="870">
        <f ca="1">IFERROR(__xludf.DUMMYFUNCTION("IMPORTRANGE(""https://docs.google.com/spreadsheets/d/1MeEWN-I1oV_STSDYn1IFDPWt_1FKiwhDph83XaGc0o0/edit?usp=sharing"",""งบพรบ!EI51"")"),0)</f>
        <v>0</v>
      </c>
      <c r="N323" s="870">
        <f ca="1">IFERROR(__xludf.DUMMYFUNCTION("IMPORTRANGE(""https://docs.google.com/spreadsheets/d/1MeEWN-I1oV_STSDYn1IFDPWt_1FKiwhDph83XaGc0o0/edit?usp=sharing"",""งบพรบ!EK51"")"),0)</f>
        <v>0</v>
      </c>
      <c r="O323" s="870">
        <f t="shared" ca="1" si="144"/>
        <v>0</v>
      </c>
      <c r="P323" s="870">
        <f t="shared" ca="1" si="145"/>
        <v>0</v>
      </c>
      <c r="Q323" s="858"/>
      <c r="R323" s="858"/>
      <c r="S323" s="858"/>
      <c r="T323" s="858"/>
      <c r="U323" s="858"/>
      <c r="V323" s="858"/>
      <c r="W323" s="858"/>
      <c r="X323" s="858"/>
      <c r="Y323" s="858"/>
      <c r="Z323" s="858"/>
    </row>
    <row r="324" spans="1:26" ht="19.5" hidden="1">
      <c r="A324" s="982"/>
      <c r="B324" s="983"/>
      <c r="C324" s="979" t="s">
        <v>16</v>
      </c>
      <c r="D324" s="984" t="s">
        <v>38</v>
      </c>
      <c r="E324" s="985"/>
      <c r="F324" s="985"/>
      <c r="G324" s="986"/>
      <c r="H324" s="987"/>
      <c r="I324" s="977"/>
      <c r="J324" s="863"/>
      <c r="K324" s="864"/>
      <c r="L324" s="864"/>
      <c r="M324" s="864"/>
      <c r="N324" s="864"/>
      <c r="O324" s="978"/>
      <c r="P324" s="978"/>
    </row>
    <row r="325" spans="1:26" ht="18.75" hidden="1">
      <c r="A325" s="982"/>
      <c r="B325" s="983"/>
      <c r="C325" s="983"/>
      <c r="D325" s="988" t="s">
        <v>147</v>
      </c>
      <c r="E325" s="990"/>
      <c r="F325" s="989"/>
      <c r="G325" s="991"/>
      <c r="H325" s="617" t="s">
        <v>146</v>
      </c>
      <c r="I325" s="863">
        <f ca="1">IFERROR(__xludf.DUMMYFUNCTION("IMPORTRANGE(""https://docs.google.com/spreadsheets/d/1QqKyyYR6Q21VydFLVH3TRQUabQu_ym0Zz7PgGX0-kHA/edit?usp=sharing"",""แผน!EF51"")"),0)</f>
        <v>0</v>
      </c>
      <c r="J325" s="992">
        <v>0</v>
      </c>
      <c r="K325" s="864">
        <f ca="1">IF(I325&gt;0,J325*100/I325,0)</f>
        <v>0</v>
      </c>
      <c r="L325" s="864"/>
      <c r="M325" s="864"/>
      <c r="N325" s="864"/>
      <c r="O325" s="978"/>
      <c r="P325" s="978"/>
    </row>
    <row r="326" spans="1:26" ht="19.5">
      <c r="A326" s="1159" t="s">
        <v>148</v>
      </c>
      <c r="B326" s="1160"/>
      <c r="C326" s="1160"/>
      <c r="D326" s="1161"/>
      <c r="E326" s="1160"/>
      <c r="F326" s="1160"/>
      <c r="G326" s="1160"/>
      <c r="H326" s="1173"/>
      <c r="I326" s="1164"/>
      <c r="J326" s="1164"/>
      <c r="K326" s="1165"/>
      <c r="L326" s="1165"/>
      <c r="M326" s="1165"/>
      <c r="N326" s="1165"/>
      <c r="O326" s="1165"/>
      <c r="P326" s="1165"/>
    </row>
    <row r="327" spans="1:26" ht="19.5">
      <c r="A327" s="1166"/>
      <c r="B327" s="1167" t="s">
        <v>149</v>
      </c>
      <c r="C327" s="1176"/>
      <c r="D327" s="1168"/>
      <c r="E327" s="1168"/>
      <c r="F327" s="1168"/>
      <c r="G327" s="1169"/>
      <c r="H327" s="443" t="s">
        <v>35</v>
      </c>
      <c r="I327" s="1170">
        <f ca="1">IFERROR(__xludf.DUMMYFUNCTION("IMPORTRANGE(""https://docs.google.com/spreadsheets/d/1QqKyyYR6Q21VydFLVH3TRQUabQu_ym0Zz7PgGX0-kHA/edit?usp=sharing"",""แผน!EG51"")"),6500)</f>
        <v>6500</v>
      </c>
      <c r="J327" s="1170">
        <f ca="1">J338+J341+J342+J343</f>
        <v>7656</v>
      </c>
      <c r="K327" s="1171">
        <f ca="1">IF(I327&gt;0,J327*100/I327,0)</f>
        <v>117.78461538461538</v>
      </c>
      <c r="L327" s="1172"/>
      <c r="M327" s="1172"/>
      <c r="N327" s="1172"/>
      <c r="O327" s="1172"/>
      <c r="P327" s="1172"/>
    </row>
    <row r="328" spans="1:26" ht="19.5">
      <c r="A328" s="965"/>
      <c r="B328" s="966"/>
      <c r="C328" s="967" t="s">
        <v>16</v>
      </c>
      <c r="D328" s="968" t="s">
        <v>17</v>
      </c>
      <c r="E328" s="966"/>
      <c r="F328" s="966"/>
      <c r="G328" s="969"/>
      <c r="H328" s="152" t="s">
        <v>12</v>
      </c>
      <c r="I328" s="970"/>
      <c r="J328" s="970"/>
      <c r="K328" s="971"/>
      <c r="L328" s="972">
        <f t="shared" ref="L328:N328" ca="1" si="149">L329+L330</f>
        <v>188000</v>
      </c>
      <c r="M328" s="972">
        <f t="shared" ca="1" si="149"/>
        <v>143500</v>
      </c>
      <c r="N328" s="972">
        <f t="shared" ca="1" si="149"/>
        <v>85044.800000000003</v>
      </c>
      <c r="O328" s="972">
        <f t="shared" ref="O328:O336" ca="1" si="150">IF(L328&gt;0,N328*100/L328,0)</f>
        <v>45.236595744680848</v>
      </c>
      <c r="P328" s="972">
        <f t="shared" ref="P328:P336" ca="1" si="151">IF(M328&gt;0,N328*100/M328,0)</f>
        <v>59.26466898954704</v>
      </c>
      <c r="Q328" s="851"/>
      <c r="R328" s="851"/>
      <c r="S328" s="851"/>
      <c r="T328" s="851"/>
      <c r="U328" s="851"/>
      <c r="V328" s="851"/>
      <c r="W328" s="851"/>
      <c r="X328" s="851"/>
      <c r="Y328" s="851"/>
      <c r="Z328" s="851"/>
    </row>
    <row r="329" spans="1:26" ht="18.75" hidden="1">
      <c r="A329" s="973"/>
      <c r="B329" s="866"/>
      <c r="C329" s="866"/>
      <c r="D329" s="866"/>
      <c r="E329" s="867" t="s">
        <v>18</v>
      </c>
      <c r="F329" s="866"/>
      <c r="G329" s="974"/>
      <c r="H329" s="158" t="s">
        <v>12</v>
      </c>
      <c r="I329" s="869"/>
      <c r="J329" s="869"/>
      <c r="K329" s="870"/>
      <c r="L329" s="870">
        <f t="shared" ref="L329:N330" si="152">L332+L335</f>
        <v>0</v>
      </c>
      <c r="M329" s="870">
        <f t="shared" si="152"/>
        <v>0</v>
      </c>
      <c r="N329" s="870">
        <f t="shared" si="152"/>
        <v>0</v>
      </c>
      <c r="O329" s="870">
        <f t="shared" si="150"/>
        <v>0</v>
      </c>
      <c r="P329" s="870">
        <f t="shared" si="151"/>
        <v>0</v>
      </c>
      <c r="Q329" s="858"/>
      <c r="R329" s="858"/>
      <c r="S329" s="858"/>
      <c r="T329" s="858"/>
      <c r="U329" s="858"/>
      <c r="V329" s="858"/>
      <c r="W329" s="858"/>
      <c r="X329" s="858"/>
      <c r="Y329" s="858"/>
      <c r="Z329" s="858"/>
    </row>
    <row r="330" spans="1:26" ht="18.75" hidden="1">
      <c r="A330" s="973"/>
      <c r="B330" s="866"/>
      <c r="C330" s="866"/>
      <c r="D330" s="866"/>
      <c r="E330" s="867" t="s">
        <v>19</v>
      </c>
      <c r="F330" s="866"/>
      <c r="G330" s="974"/>
      <c r="H330" s="158" t="s">
        <v>12</v>
      </c>
      <c r="I330" s="869"/>
      <c r="J330" s="869"/>
      <c r="K330" s="870"/>
      <c r="L330" s="870">
        <f t="shared" ca="1" si="152"/>
        <v>188000</v>
      </c>
      <c r="M330" s="870">
        <f t="shared" ca="1" si="152"/>
        <v>143500</v>
      </c>
      <c r="N330" s="870">
        <f t="shared" ca="1" si="152"/>
        <v>85044.800000000003</v>
      </c>
      <c r="O330" s="870">
        <f t="shared" ca="1" si="150"/>
        <v>45.236595744680848</v>
      </c>
      <c r="P330" s="870">
        <f t="shared" ca="1" si="151"/>
        <v>59.26466898954704</v>
      </c>
      <c r="Q330" s="858"/>
      <c r="R330" s="858"/>
      <c r="S330" s="858"/>
      <c r="T330" s="858"/>
      <c r="U330" s="858"/>
      <c r="V330" s="858"/>
      <c r="W330" s="858"/>
      <c r="X330" s="858"/>
      <c r="Y330" s="858"/>
      <c r="Z330" s="858"/>
    </row>
    <row r="331" spans="1:26" ht="18.75">
      <c r="A331" s="975"/>
      <c r="B331" s="860"/>
      <c r="C331" s="976"/>
      <c r="D331" s="861" t="s">
        <v>20</v>
      </c>
      <c r="E331" s="860"/>
      <c r="F331" s="860"/>
      <c r="G331" s="862"/>
      <c r="H331" s="161" t="s">
        <v>12</v>
      </c>
      <c r="I331" s="977"/>
      <c r="J331" s="977"/>
      <c r="K331" s="978"/>
      <c r="L331" s="864">
        <f t="shared" ref="L331:N331" ca="1" si="153">L332+L333</f>
        <v>188000</v>
      </c>
      <c r="M331" s="864">
        <f t="shared" ca="1" si="153"/>
        <v>143500</v>
      </c>
      <c r="N331" s="864">
        <f t="shared" ca="1" si="153"/>
        <v>85044.800000000003</v>
      </c>
      <c r="O331" s="864">
        <f t="shared" ca="1" si="150"/>
        <v>45.236595744680848</v>
      </c>
      <c r="P331" s="864">
        <f t="shared" ca="1" si="151"/>
        <v>59.26466898954704</v>
      </c>
      <c r="Q331" s="851"/>
      <c r="R331" s="851"/>
      <c r="S331" s="851"/>
      <c r="T331" s="851"/>
      <c r="U331" s="851"/>
      <c r="V331" s="851"/>
      <c r="W331" s="851"/>
      <c r="X331" s="851"/>
      <c r="Y331" s="851"/>
      <c r="Z331" s="851"/>
    </row>
    <row r="332" spans="1:26" ht="19.5" hidden="1">
      <c r="A332" s="973"/>
      <c r="B332" s="866"/>
      <c r="C332" s="979"/>
      <c r="D332" s="866"/>
      <c r="E332" s="867" t="s">
        <v>36</v>
      </c>
      <c r="F332" s="866"/>
      <c r="G332" s="974"/>
      <c r="H332" s="165" t="s">
        <v>12</v>
      </c>
      <c r="I332" s="980"/>
      <c r="J332" s="980"/>
      <c r="K332" s="981"/>
      <c r="L332" s="870">
        <v>0</v>
      </c>
      <c r="M332" s="870">
        <v>0</v>
      </c>
      <c r="N332" s="870">
        <v>0</v>
      </c>
      <c r="O332" s="870">
        <f t="shared" si="150"/>
        <v>0</v>
      </c>
      <c r="P332" s="870">
        <f t="shared" si="151"/>
        <v>0</v>
      </c>
      <c r="Q332" s="858"/>
      <c r="R332" s="858"/>
      <c r="S332" s="858"/>
      <c r="T332" s="858"/>
      <c r="U332" s="858"/>
      <c r="V332" s="858"/>
      <c r="W332" s="858"/>
      <c r="X332" s="858"/>
      <c r="Y332" s="858"/>
      <c r="Z332" s="858"/>
    </row>
    <row r="333" spans="1:26" ht="19.5" hidden="1">
      <c r="A333" s="973"/>
      <c r="B333" s="866"/>
      <c r="C333" s="979"/>
      <c r="D333" s="866"/>
      <c r="E333" s="867" t="s">
        <v>37</v>
      </c>
      <c r="F333" s="866"/>
      <c r="G333" s="974"/>
      <c r="H333" s="165" t="s">
        <v>12</v>
      </c>
      <c r="I333" s="980"/>
      <c r="J333" s="980"/>
      <c r="K333" s="981"/>
      <c r="L333" s="870">
        <f ca="1">IFERROR(__xludf.DUMMYFUNCTION("IMPORTRANGE(""https://docs.google.com/spreadsheets/d/1MeEWN-I1oV_STSDYn1IFDPWt_1FKiwhDph83XaGc0o0/edit?usp=sharing"",""งบพรบ!EM51"")"),188000)</f>
        <v>188000</v>
      </c>
      <c r="M333" s="870">
        <f ca="1">IFERROR(__xludf.DUMMYFUNCTION("IMPORTRANGE(""https://docs.google.com/spreadsheets/d/1MeEWN-I1oV_STSDYn1IFDPWt_1FKiwhDph83XaGc0o0/edit?usp=sharing"",""งบพรบ!ER51"")"),143500)</f>
        <v>143500</v>
      </c>
      <c r="N333" s="870">
        <f ca="1">IFERROR(__xludf.DUMMYFUNCTION("IMPORTRANGE(""https://docs.google.com/spreadsheets/d/1MeEWN-I1oV_STSDYn1IFDPWt_1FKiwhDph83XaGc0o0/edit?usp=sharing"",""งบพรบ!ET51"")"),85044.8)</f>
        <v>85044.800000000003</v>
      </c>
      <c r="O333" s="870">
        <f t="shared" ca="1" si="150"/>
        <v>45.236595744680848</v>
      </c>
      <c r="P333" s="870">
        <f t="shared" ca="1" si="151"/>
        <v>59.26466898954704</v>
      </c>
      <c r="Q333" s="858"/>
      <c r="R333" s="858"/>
      <c r="S333" s="858"/>
      <c r="T333" s="858"/>
      <c r="U333" s="858"/>
      <c r="V333" s="858"/>
      <c r="W333" s="858"/>
      <c r="X333" s="858"/>
      <c r="Y333" s="858"/>
      <c r="Z333" s="858"/>
    </row>
    <row r="334" spans="1:26" ht="18.75">
      <c r="A334" s="975"/>
      <c r="B334" s="860"/>
      <c r="C334" s="976"/>
      <c r="D334" s="861" t="s">
        <v>21</v>
      </c>
      <c r="E334" s="860"/>
      <c r="F334" s="860"/>
      <c r="G334" s="862"/>
      <c r="H334" s="168" t="s">
        <v>12</v>
      </c>
      <c r="I334" s="977"/>
      <c r="J334" s="977"/>
      <c r="K334" s="978"/>
      <c r="L334" s="864">
        <f t="shared" ref="L334:N334" ca="1" si="154">L335+L336</f>
        <v>0</v>
      </c>
      <c r="M334" s="864">
        <f t="shared" ca="1" si="154"/>
        <v>0</v>
      </c>
      <c r="N334" s="864">
        <f t="shared" ca="1" si="154"/>
        <v>0</v>
      </c>
      <c r="O334" s="864">
        <f t="shared" ca="1" si="150"/>
        <v>0</v>
      </c>
      <c r="P334" s="864">
        <f t="shared" ca="1" si="151"/>
        <v>0</v>
      </c>
      <c r="Q334" s="851"/>
      <c r="R334" s="851"/>
      <c r="S334" s="851"/>
      <c r="T334" s="851"/>
      <c r="U334" s="851"/>
      <c r="V334" s="851"/>
      <c r="W334" s="851"/>
      <c r="X334" s="851"/>
      <c r="Y334" s="851"/>
      <c r="Z334" s="851"/>
    </row>
    <row r="335" spans="1:26" ht="19.5" hidden="1">
      <c r="A335" s="973"/>
      <c r="B335" s="866"/>
      <c r="C335" s="979"/>
      <c r="D335" s="866"/>
      <c r="E335" s="867" t="s">
        <v>18</v>
      </c>
      <c r="F335" s="866"/>
      <c r="G335" s="974"/>
      <c r="H335" s="165" t="s">
        <v>12</v>
      </c>
      <c r="I335" s="980"/>
      <c r="J335" s="980"/>
      <c r="K335" s="981"/>
      <c r="L335" s="870">
        <v>0</v>
      </c>
      <c r="M335" s="870">
        <v>0</v>
      </c>
      <c r="N335" s="870">
        <v>0</v>
      </c>
      <c r="O335" s="870">
        <f t="shared" si="150"/>
        <v>0</v>
      </c>
      <c r="P335" s="870">
        <f t="shared" si="151"/>
        <v>0</v>
      </c>
      <c r="Q335" s="858"/>
      <c r="R335" s="858"/>
      <c r="S335" s="858"/>
      <c r="T335" s="858"/>
      <c r="U335" s="858"/>
      <c r="V335" s="858"/>
      <c r="W335" s="858"/>
      <c r="X335" s="858"/>
      <c r="Y335" s="858"/>
      <c r="Z335" s="858"/>
    </row>
    <row r="336" spans="1:26" ht="19.5" hidden="1">
      <c r="A336" s="973"/>
      <c r="B336" s="866"/>
      <c r="C336" s="979"/>
      <c r="D336" s="866"/>
      <c r="E336" s="867" t="s">
        <v>19</v>
      </c>
      <c r="F336" s="866"/>
      <c r="G336" s="974"/>
      <c r="H336" s="169" t="s">
        <v>12</v>
      </c>
      <c r="I336" s="980"/>
      <c r="J336" s="980"/>
      <c r="K336" s="981"/>
      <c r="L336" s="870">
        <f ca="1">IFERROR(__xludf.DUMMYFUNCTION("IMPORTRANGE(""https://docs.google.com/spreadsheets/d/1MeEWN-I1oV_STSDYn1IFDPWt_1FKiwhDph83XaGc0o0/edit?usp=sharing"",""งบพรบ!EP51"")"),0)</f>
        <v>0</v>
      </c>
      <c r="M336" s="870">
        <f ca="1">IFERROR(__xludf.DUMMYFUNCTION("IMPORTRANGE(""https://docs.google.com/spreadsheets/d/1MeEWN-I1oV_STSDYn1IFDPWt_1FKiwhDph83XaGc0o0/edit?usp=sharing"",""งบพรบ!ES51"")"),0)</f>
        <v>0</v>
      </c>
      <c r="N336" s="870">
        <f ca="1">IFERROR(__xludf.DUMMYFUNCTION("IMPORTRANGE(""https://docs.google.com/spreadsheets/d/1MeEWN-I1oV_STSDYn1IFDPWt_1FKiwhDph83XaGc0o0/edit?usp=sharing"",""งบพรบ!EU51"")"),0)</f>
        <v>0</v>
      </c>
      <c r="O336" s="870">
        <f t="shared" ca="1" si="150"/>
        <v>0</v>
      </c>
      <c r="P336" s="870">
        <f t="shared" ca="1" si="151"/>
        <v>0</v>
      </c>
      <c r="Q336" s="858"/>
      <c r="R336" s="858"/>
      <c r="S336" s="858"/>
      <c r="T336" s="858"/>
      <c r="U336" s="858"/>
      <c r="V336" s="858"/>
      <c r="W336" s="858"/>
      <c r="X336" s="858"/>
      <c r="Y336" s="858"/>
      <c r="Z336" s="858"/>
    </row>
    <row r="337" spans="1:26" ht="19.5">
      <c r="A337" s="982"/>
      <c r="B337" s="983"/>
      <c r="C337" s="979" t="s">
        <v>16</v>
      </c>
      <c r="D337" s="984" t="s">
        <v>38</v>
      </c>
      <c r="E337" s="985"/>
      <c r="F337" s="985"/>
      <c r="G337" s="986"/>
      <c r="H337" s="987"/>
      <c r="I337" s="977"/>
      <c r="J337" s="863"/>
      <c r="K337" s="864"/>
      <c r="L337" s="864"/>
      <c r="M337" s="864"/>
      <c r="N337" s="864"/>
      <c r="O337" s="978"/>
      <c r="P337" s="978"/>
    </row>
    <row r="338" spans="1:26" ht="18.75">
      <c r="A338" s="1065"/>
      <c r="B338" s="860"/>
      <c r="C338" s="1063"/>
      <c r="D338" s="989" t="s">
        <v>150</v>
      </c>
      <c r="E338" s="983"/>
      <c r="F338" s="860"/>
      <c r="G338" s="862"/>
      <c r="H338" s="277" t="s">
        <v>35</v>
      </c>
      <c r="I338" s="863">
        <f ca="1">IFERROR(__xludf.DUMMYFUNCTION("IMPORTRANGE(""https://docs.google.com/spreadsheets/d/1QqKyyYR6Q21VydFLVH3TRQUabQu_ym0Zz7PgGX0-kHA/edit?usp=sharing"",""แผน!EG51"")"),6500)</f>
        <v>6500</v>
      </c>
      <c r="J338" s="863">
        <f ca="1">IFERROR(__xludf.DUMMYFUNCTION("IMPORTRANGE(""https://docs.google.com/spreadsheets/d/1kVcqe37tkHyjCSG3S0O1AXqVkqjo8mSIZil3BcpIysc/edit?usp=sharing"",""ศูนย์!D51"")"),7238)</f>
        <v>7238</v>
      </c>
      <c r="K338" s="864">
        <f ca="1">IF(I338&gt;0,J338*100/I338,0)</f>
        <v>111.35384615384615</v>
      </c>
      <c r="L338" s="864"/>
      <c r="M338" s="864"/>
      <c r="N338" s="864"/>
      <c r="O338" s="864"/>
      <c r="P338" s="864"/>
    </row>
    <row r="339" spans="1:26" ht="18.75">
      <c r="A339" s="1065"/>
      <c r="B339" s="860"/>
      <c r="C339" s="1063"/>
      <c r="D339" s="989" t="s">
        <v>151</v>
      </c>
      <c r="E339" s="983"/>
      <c r="F339" s="860"/>
      <c r="G339" s="862"/>
      <c r="H339" s="277"/>
      <c r="I339" s="863"/>
      <c r="J339" s="863"/>
      <c r="K339" s="864"/>
      <c r="L339" s="864"/>
      <c r="M339" s="864"/>
      <c r="N339" s="864"/>
      <c r="O339" s="864"/>
      <c r="P339" s="864"/>
    </row>
    <row r="340" spans="1:26" ht="18.75">
      <c r="A340" s="1065"/>
      <c r="B340" s="860"/>
      <c r="C340" s="1063"/>
      <c r="D340" s="990"/>
      <c r="E340" s="989" t="s">
        <v>152</v>
      </c>
      <c r="F340" s="860"/>
      <c r="G340" s="862"/>
      <c r="H340" s="277" t="s">
        <v>153</v>
      </c>
      <c r="I340" s="863">
        <f ca="1">IFERROR(__xludf.DUMMYFUNCTION("IMPORTRANGE(""https://docs.google.com/spreadsheets/d/1QqKyyYR6Q21VydFLVH3TRQUabQu_ym0Zz7PgGX0-kHA/edit?usp=sharing"",""แผน!EH51"")"),10)</f>
        <v>10</v>
      </c>
      <c r="J340" s="863">
        <f ca="1">IFERROR(__xludf.DUMMYFUNCTION("IMPORTRANGE(""https://docs.google.com/spreadsheets/d/1kVcqe37tkHyjCSG3S0O1AXqVkqjo8mSIZil3BcpIysc/edit?usp=sharing"",""ศูนย์!E51"")"),2)</f>
        <v>2</v>
      </c>
      <c r="K340" s="864">
        <f ca="1">IF(I340&gt;0,J340*100/I340,0)</f>
        <v>20</v>
      </c>
      <c r="L340" s="864"/>
      <c r="M340" s="864"/>
      <c r="N340" s="864"/>
      <c r="O340" s="864"/>
      <c r="P340" s="864"/>
    </row>
    <row r="341" spans="1:26" ht="18.75">
      <c r="A341" s="1065"/>
      <c r="B341" s="860"/>
      <c r="C341" s="1063"/>
      <c r="D341" s="990"/>
      <c r="E341" s="989" t="s">
        <v>154</v>
      </c>
      <c r="F341" s="860"/>
      <c r="G341" s="862"/>
      <c r="H341" s="277" t="s">
        <v>35</v>
      </c>
      <c r="I341" s="863"/>
      <c r="J341" s="863">
        <f ca="1">IFERROR(__xludf.DUMMYFUNCTION("IMPORTRANGE(""https://docs.google.com/spreadsheets/d/1kVcqe37tkHyjCSG3S0O1AXqVkqjo8mSIZil3BcpIysc/edit?usp=sharing"",""ศูนย์!F51"")"),123)</f>
        <v>123</v>
      </c>
      <c r="K341" s="864"/>
      <c r="L341" s="864"/>
      <c r="M341" s="864"/>
      <c r="N341" s="864"/>
      <c r="O341" s="864"/>
      <c r="P341" s="864"/>
    </row>
    <row r="342" spans="1:26" ht="18.75">
      <c r="A342" s="1065"/>
      <c r="B342" s="860"/>
      <c r="C342" s="1063"/>
      <c r="D342" s="989" t="s">
        <v>155</v>
      </c>
      <c r="E342" s="990"/>
      <c r="F342" s="990"/>
      <c r="G342" s="862"/>
      <c r="H342" s="277" t="s">
        <v>35</v>
      </c>
      <c r="I342" s="863"/>
      <c r="J342" s="863">
        <f ca="1">IFERROR(__xludf.DUMMYFUNCTION("IMPORTRANGE(""https://docs.google.com/spreadsheets/d/1kVcqe37tkHyjCSG3S0O1AXqVkqjo8mSIZil3BcpIysc/edit?usp=sharing"",""ศูนย์!G51"")"),8)</f>
        <v>8</v>
      </c>
      <c r="K342" s="864"/>
      <c r="L342" s="864"/>
      <c r="M342" s="864"/>
      <c r="N342" s="864"/>
      <c r="O342" s="864"/>
      <c r="P342" s="864"/>
    </row>
    <row r="343" spans="1:26" ht="18.75">
      <c r="A343" s="1065"/>
      <c r="B343" s="860"/>
      <c r="C343" s="1063"/>
      <c r="D343" s="989" t="s">
        <v>156</v>
      </c>
      <c r="E343" s="990"/>
      <c r="F343" s="990"/>
      <c r="G343" s="862"/>
      <c r="H343" s="277" t="s">
        <v>35</v>
      </c>
      <c r="I343" s="863"/>
      <c r="J343" s="863">
        <f ca="1">IFERROR(__xludf.DUMMYFUNCTION("IMPORTRANGE(""https://docs.google.com/spreadsheets/d/1kVcqe37tkHyjCSG3S0O1AXqVkqjo8mSIZil3BcpIysc/edit?usp=sharing"",""ศูนย์!H51"")"),287)</f>
        <v>287</v>
      </c>
      <c r="K343" s="864"/>
      <c r="L343" s="864"/>
      <c r="M343" s="864"/>
      <c r="N343" s="864"/>
      <c r="O343" s="864"/>
      <c r="P343" s="864"/>
    </row>
    <row r="344" spans="1:26" ht="19.5">
      <c r="A344" s="1166"/>
      <c r="B344" s="1167" t="s">
        <v>157</v>
      </c>
      <c r="C344" s="1176"/>
      <c r="D344" s="1168"/>
      <c r="E344" s="1168"/>
      <c r="F344" s="1168"/>
      <c r="G344" s="1169"/>
      <c r="H344" s="443"/>
      <c r="I344" s="1177"/>
      <c r="J344" s="1177"/>
      <c r="K344" s="1172"/>
      <c r="L344" s="1172"/>
      <c r="M344" s="1172"/>
      <c r="N344" s="1172"/>
      <c r="O344" s="1172"/>
      <c r="P344" s="1172"/>
    </row>
    <row r="345" spans="1:26" ht="19.5">
      <c r="A345" s="965"/>
      <c r="B345" s="966"/>
      <c r="C345" s="967" t="s">
        <v>16</v>
      </c>
      <c r="D345" s="968" t="s">
        <v>17</v>
      </c>
      <c r="E345" s="966"/>
      <c r="F345" s="966"/>
      <c r="G345" s="969"/>
      <c r="H345" s="152" t="s">
        <v>12</v>
      </c>
      <c r="I345" s="970"/>
      <c r="J345" s="970"/>
      <c r="K345" s="971"/>
      <c r="L345" s="972">
        <f t="shared" ref="L345:N345" ca="1" si="155">L346+L347</f>
        <v>2256200</v>
      </c>
      <c r="M345" s="972">
        <f t="shared" ca="1" si="155"/>
        <v>1937650</v>
      </c>
      <c r="N345" s="972">
        <f t="shared" ca="1" si="155"/>
        <v>1088154.25</v>
      </c>
      <c r="O345" s="972">
        <f t="shared" ref="O345:O353" ca="1" si="156">IF(L345&gt;0,N345*100/L345,0)</f>
        <v>48.229512011346515</v>
      </c>
      <c r="P345" s="972">
        <f t="shared" ref="P345:P353" ca="1" si="157">IF(M345&gt;0,N345*100/M345,0)</f>
        <v>56.158452248858154</v>
      </c>
      <c r="Q345" s="851"/>
      <c r="R345" s="851"/>
      <c r="S345" s="851"/>
      <c r="T345" s="851"/>
      <c r="U345" s="851"/>
      <c r="V345" s="851"/>
      <c r="W345" s="851"/>
      <c r="X345" s="851"/>
      <c r="Y345" s="851"/>
      <c r="Z345" s="851"/>
    </row>
    <row r="346" spans="1:26" ht="18.75" hidden="1">
      <c r="A346" s="973"/>
      <c r="B346" s="866"/>
      <c r="C346" s="866"/>
      <c r="D346" s="866"/>
      <c r="E346" s="867" t="s">
        <v>18</v>
      </c>
      <c r="F346" s="866"/>
      <c r="G346" s="974"/>
      <c r="H346" s="158" t="s">
        <v>12</v>
      </c>
      <c r="I346" s="869"/>
      <c r="J346" s="869"/>
      <c r="K346" s="870"/>
      <c r="L346" s="870">
        <f t="shared" ref="L346:N347" si="158">L349+L352</f>
        <v>0</v>
      </c>
      <c r="M346" s="870">
        <f t="shared" si="158"/>
        <v>0</v>
      </c>
      <c r="N346" s="870">
        <f t="shared" si="158"/>
        <v>0</v>
      </c>
      <c r="O346" s="870">
        <f t="shared" si="156"/>
        <v>0</v>
      </c>
      <c r="P346" s="870">
        <f t="shared" si="157"/>
        <v>0</v>
      </c>
      <c r="Q346" s="858"/>
      <c r="R346" s="858"/>
      <c r="S346" s="858"/>
      <c r="T346" s="858"/>
      <c r="U346" s="858"/>
      <c r="V346" s="858"/>
      <c r="W346" s="858"/>
      <c r="X346" s="858"/>
      <c r="Y346" s="858"/>
      <c r="Z346" s="858"/>
    </row>
    <row r="347" spans="1:26" ht="18.75" hidden="1">
      <c r="A347" s="973"/>
      <c r="B347" s="866"/>
      <c r="C347" s="866"/>
      <c r="D347" s="866"/>
      <c r="E347" s="867" t="s">
        <v>19</v>
      </c>
      <c r="F347" s="866"/>
      <c r="G347" s="974"/>
      <c r="H347" s="158" t="s">
        <v>12</v>
      </c>
      <c r="I347" s="869"/>
      <c r="J347" s="869"/>
      <c r="K347" s="870"/>
      <c r="L347" s="870">
        <f t="shared" ca="1" si="158"/>
        <v>2256200</v>
      </c>
      <c r="M347" s="870">
        <f t="shared" ca="1" si="158"/>
        <v>1937650</v>
      </c>
      <c r="N347" s="870">
        <f t="shared" ca="1" si="158"/>
        <v>1088154.25</v>
      </c>
      <c r="O347" s="870">
        <f t="shared" ca="1" si="156"/>
        <v>48.229512011346515</v>
      </c>
      <c r="P347" s="870">
        <f t="shared" ca="1" si="157"/>
        <v>56.158452248858154</v>
      </c>
      <c r="Q347" s="858"/>
      <c r="R347" s="858"/>
      <c r="S347" s="858"/>
      <c r="T347" s="858"/>
      <c r="U347" s="858"/>
      <c r="V347" s="858"/>
      <c r="W347" s="858"/>
      <c r="X347" s="858"/>
      <c r="Y347" s="858"/>
      <c r="Z347" s="858"/>
    </row>
    <row r="348" spans="1:26" ht="18.75">
      <c r="A348" s="975"/>
      <c r="B348" s="860"/>
      <c r="C348" s="976"/>
      <c r="D348" s="861" t="s">
        <v>20</v>
      </c>
      <c r="E348" s="860"/>
      <c r="F348" s="860"/>
      <c r="G348" s="862"/>
      <c r="H348" s="161" t="s">
        <v>12</v>
      </c>
      <c r="I348" s="977"/>
      <c r="J348" s="977"/>
      <c r="K348" s="978"/>
      <c r="L348" s="864">
        <f t="shared" ref="L348:N348" ca="1" si="159">L349+L350</f>
        <v>2180200</v>
      </c>
      <c r="M348" s="864">
        <f t="shared" ca="1" si="159"/>
        <v>1861650</v>
      </c>
      <c r="N348" s="864">
        <f t="shared" ca="1" si="159"/>
        <v>1012154.25</v>
      </c>
      <c r="O348" s="864">
        <f t="shared" ca="1" si="156"/>
        <v>46.424834877534174</v>
      </c>
      <c r="P348" s="864">
        <f t="shared" ca="1" si="157"/>
        <v>54.368664894045608</v>
      </c>
      <c r="Q348" s="851"/>
      <c r="R348" s="851"/>
      <c r="S348" s="851"/>
      <c r="T348" s="851"/>
      <c r="U348" s="851"/>
      <c r="V348" s="851"/>
      <c r="W348" s="851"/>
      <c r="X348" s="851"/>
      <c r="Y348" s="851"/>
      <c r="Z348" s="851"/>
    </row>
    <row r="349" spans="1:26" ht="19.5" hidden="1">
      <c r="A349" s="973"/>
      <c r="B349" s="866"/>
      <c r="C349" s="979"/>
      <c r="D349" s="866"/>
      <c r="E349" s="867" t="s">
        <v>36</v>
      </c>
      <c r="F349" s="866"/>
      <c r="G349" s="974"/>
      <c r="H349" s="165" t="s">
        <v>12</v>
      </c>
      <c r="I349" s="980"/>
      <c r="J349" s="980"/>
      <c r="K349" s="981"/>
      <c r="L349" s="870">
        <v>0</v>
      </c>
      <c r="M349" s="870">
        <v>0</v>
      </c>
      <c r="N349" s="870">
        <v>0</v>
      </c>
      <c r="O349" s="870">
        <f t="shared" si="156"/>
        <v>0</v>
      </c>
      <c r="P349" s="870">
        <f t="shared" si="157"/>
        <v>0</v>
      </c>
      <c r="Q349" s="858"/>
      <c r="R349" s="858"/>
      <c r="S349" s="858"/>
      <c r="T349" s="858"/>
      <c r="U349" s="858"/>
      <c r="V349" s="858"/>
      <c r="W349" s="858"/>
      <c r="X349" s="858"/>
      <c r="Y349" s="858"/>
      <c r="Z349" s="858"/>
    </row>
    <row r="350" spans="1:26" ht="19.5" hidden="1">
      <c r="A350" s="973"/>
      <c r="B350" s="866"/>
      <c r="C350" s="979"/>
      <c r="D350" s="866"/>
      <c r="E350" s="867" t="s">
        <v>37</v>
      </c>
      <c r="F350" s="866"/>
      <c r="G350" s="974"/>
      <c r="H350" s="165" t="s">
        <v>12</v>
      </c>
      <c r="I350" s="980"/>
      <c r="J350" s="980"/>
      <c r="K350" s="981"/>
      <c r="L350" s="870">
        <f ca="1">IFERROR(__xludf.DUMMYFUNCTION("IMPORTRANGE(""https://docs.google.com/spreadsheets/d/1MeEWN-I1oV_STSDYn1IFDPWt_1FKiwhDph83XaGc0o0/edit?usp=sharing"",""งบพรบ!EW51"")"),2180200)</f>
        <v>2180200</v>
      </c>
      <c r="M350" s="870">
        <f ca="1">IFERROR(__xludf.DUMMYFUNCTION("IMPORTRANGE(""https://docs.google.com/spreadsheets/d/1MeEWN-I1oV_STSDYn1IFDPWt_1FKiwhDph83XaGc0o0/edit?usp=sharing"",""งบพรบ!FB51"")"),1861650)</f>
        <v>1861650</v>
      </c>
      <c r="N350" s="870">
        <f ca="1">IFERROR(__xludf.DUMMYFUNCTION("IMPORTRANGE(""https://docs.google.com/spreadsheets/d/1MeEWN-I1oV_STSDYn1IFDPWt_1FKiwhDph83XaGc0o0/edit?usp=sharing"",""งบพรบ!FD51"")"),1012154.25)</f>
        <v>1012154.25</v>
      </c>
      <c r="O350" s="870">
        <f t="shared" ca="1" si="156"/>
        <v>46.424834877534174</v>
      </c>
      <c r="P350" s="870">
        <f t="shared" ca="1" si="157"/>
        <v>54.368664894045608</v>
      </c>
      <c r="Q350" s="858"/>
      <c r="R350" s="858"/>
      <c r="S350" s="858"/>
      <c r="T350" s="858"/>
      <c r="U350" s="858"/>
      <c r="V350" s="858"/>
      <c r="W350" s="858"/>
      <c r="X350" s="858"/>
      <c r="Y350" s="858"/>
      <c r="Z350" s="858"/>
    </row>
    <row r="351" spans="1:26" ht="18.75">
      <c r="A351" s="975"/>
      <c r="B351" s="860"/>
      <c r="C351" s="976"/>
      <c r="D351" s="861" t="s">
        <v>21</v>
      </c>
      <c r="E351" s="860"/>
      <c r="F351" s="860"/>
      <c r="G351" s="862"/>
      <c r="H351" s="168" t="s">
        <v>12</v>
      </c>
      <c r="I351" s="977"/>
      <c r="J351" s="977"/>
      <c r="K351" s="978"/>
      <c r="L351" s="864">
        <f t="shared" ref="L351:N351" ca="1" si="160">L352+L353</f>
        <v>76000</v>
      </c>
      <c r="M351" s="864">
        <f t="shared" ca="1" si="160"/>
        <v>76000</v>
      </c>
      <c r="N351" s="864">
        <f t="shared" ca="1" si="160"/>
        <v>76000</v>
      </c>
      <c r="O351" s="864">
        <f t="shared" ca="1" si="156"/>
        <v>100</v>
      </c>
      <c r="P351" s="864">
        <f t="shared" ca="1" si="157"/>
        <v>100</v>
      </c>
      <c r="Q351" s="851"/>
      <c r="R351" s="851"/>
      <c r="S351" s="851"/>
      <c r="T351" s="851"/>
      <c r="U351" s="851"/>
      <c r="V351" s="851"/>
      <c r="W351" s="851"/>
      <c r="X351" s="851"/>
      <c r="Y351" s="851"/>
      <c r="Z351" s="851"/>
    </row>
    <row r="352" spans="1:26" ht="19.5" hidden="1">
      <c r="A352" s="973"/>
      <c r="B352" s="866"/>
      <c r="C352" s="979"/>
      <c r="D352" s="866"/>
      <c r="E352" s="867" t="s">
        <v>18</v>
      </c>
      <c r="F352" s="866"/>
      <c r="G352" s="974"/>
      <c r="H352" s="165" t="s">
        <v>12</v>
      </c>
      <c r="I352" s="980"/>
      <c r="J352" s="980"/>
      <c r="K352" s="981"/>
      <c r="L352" s="870">
        <v>0</v>
      </c>
      <c r="M352" s="870">
        <v>0</v>
      </c>
      <c r="N352" s="870">
        <v>0</v>
      </c>
      <c r="O352" s="870">
        <f t="shared" si="156"/>
        <v>0</v>
      </c>
      <c r="P352" s="870">
        <f t="shared" si="157"/>
        <v>0</v>
      </c>
      <c r="Q352" s="858"/>
      <c r="R352" s="858"/>
      <c r="S352" s="858"/>
      <c r="T352" s="858"/>
      <c r="U352" s="858"/>
      <c r="V352" s="858"/>
      <c r="W352" s="858"/>
      <c r="X352" s="858"/>
      <c r="Y352" s="858"/>
      <c r="Z352" s="858"/>
    </row>
    <row r="353" spans="1:26" ht="19.5" hidden="1">
      <c r="A353" s="973"/>
      <c r="B353" s="866"/>
      <c r="C353" s="979"/>
      <c r="D353" s="866"/>
      <c r="E353" s="867" t="s">
        <v>19</v>
      </c>
      <c r="F353" s="866"/>
      <c r="G353" s="974"/>
      <c r="H353" s="169" t="s">
        <v>12</v>
      </c>
      <c r="I353" s="980"/>
      <c r="J353" s="980"/>
      <c r="K353" s="981"/>
      <c r="L353" s="870">
        <f ca="1">IFERROR(__xludf.DUMMYFUNCTION("IMPORTRANGE(""https://docs.google.com/spreadsheets/d/1MeEWN-I1oV_STSDYn1IFDPWt_1FKiwhDph83XaGc0o0/edit?usp=sharing"",""งบพรบ!EZ51"")"),76000)</f>
        <v>76000</v>
      </c>
      <c r="M353" s="870">
        <f ca="1">IFERROR(__xludf.DUMMYFUNCTION("IMPORTRANGE(""https://docs.google.com/spreadsheets/d/1MeEWN-I1oV_STSDYn1IFDPWt_1FKiwhDph83XaGc0o0/edit?usp=sharing"",""งบพรบ!FC51"")"),76000)</f>
        <v>76000</v>
      </c>
      <c r="N353" s="870">
        <f ca="1">IFERROR(__xludf.DUMMYFUNCTION("IMPORTRANGE(""https://docs.google.com/spreadsheets/d/1MeEWN-I1oV_STSDYn1IFDPWt_1FKiwhDph83XaGc0o0/edit?usp=sharing"",""งบพรบ!FE51"")"),76000)</f>
        <v>76000</v>
      </c>
      <c r="O353" s="870">
        <f t="shared" ca="1" si="156"/>
        <v>100</v>
      </c>
      <c r="P353" s="870">
        <f t="shared" ca="1" si="157"/>
        <v>100</v>
      </c>
      <c r="Q353" s="858"/>
      <c r="R353" s="858"/>
      <c r="S353" s="858"/>
      <c r="T353" s="858"/>
      <c r="U353" s="858"/>
      <c r="V353" s="858"/>
      <c r="W353" s="858"/>
      <c r="X353" s="858"/>
      <c r="Y353" s="858"/>
      <c r="Z353" s="858"/>
    </row>
    <row r="354" spans="1:26" ht="19.5">
      <c r="A354" s="1044"/>
      <c r="B354" s="1051"/>
      <c r="C354" s="1045"/>
      <c r="D354" s="1178" t="s">
        <v>158</v>
      </c>
      <c r="E354" s="1045"/>
      <c r="F354" s="1045"/>
      <c r="G354" s="1047"/>
      <c r="H354" s="1179"/>
      <c r="I354" s="1048"/>
      <c r="J354" s="1048"/>
      <c r="K354" s="1049"/>
      <c r="L354" s="1049"/>
      <c r="M354" s="1049"/>
      <c r="N354" s="1049"/>
      <c r="O354" s="1049"/>
      <c r="P354" s="1049"/>
    </row>
    <row r="355" spans="1:26" ht="19.5">
      <c r="A355" s="1180"/>
      <c r="B355" s="1181"/>
      <c r="C355" s="1182"/>
      <c r="D355" s="1183" t="s">
        <v>159</v>
      </c>
      <c r="E355" s="1184"/>
      <c r="F355" s="1184"/>
      <c r="G355" s="1185"/>
      <c r="H355" s="462" t="s">
        <v>35</v>
      </c>
      <c r="I355" s="1186">
        <f ca="1">IFERROR(__xludf.DUMMYFUNCTION("IMPORTRANGE(""https://docs.google.com/spreadsheets/d/1QqKyyYR6Q21VydFLVH3TRQUabQu_ym0Zz7PgGX0-kHA/edit?usp=sharing"",""แผน!EP51"")"),1300)</f>
        <v>1300</v>
      </c>
      <c r="J355" s="1186">
        <f ca="1">J362</f>
        <v>128</v>
      </c>
      <c r="K355" s="1187">
        <f ca="1">IF(I355&gt;0,J355*100/I355,0)</f>
        <v>9.8461538461538467</v>
      </c>
      <c r="L355" s="1188"/>
      <c r="M355" s="1188"/>
      <c r="N355" s="1188"/>
      <c r="O355" s="1188"/>
      <c r="P355" s="1188"/>
    </row>
    <row r="356" spans="1:26" ht="19.5">
      <c r="A356" s="1180"/>
      <c r="B356" s="1181"/>
      <c r="C356" s="1182"/>
      <c r="D356" s="1189" t="s">
        <v>160</v>
      </c>
      <c r="E356" s="1184"/>
      <c r="F356" s="1184"/>
      <c r="G356" s="1185"/>
      <c r="H356" s="1190"/>
      <c r="I356" s="1191"/>
      <c r="J356" s="1191"/>
      <c r="K356" s="1188"/>
      <c r="L356" s="1188"/>
      <c r="M356" s="1188"/>
      <c r="N356" s="1188"/>
      <c r="O356" s="1188"/>
      <c r="P356" s="1188"/>
    </row>
    <row r="357" spans="1:26" ht="19.5">
      <c r="A357" s="982"/>
      <c r="B357" s="983"/>
      <c r="C357" s="979" t="s">
        <v>16</v>
      </c>
      <c r="D357" s="984" t="s">
        <v>38</v>
      </c>
      <c r="E357" s="985"/>
      <c r="F357" s="985"/>
      <c r="G357" s="986"/>
      <c r="H357" s="987"/>
      <c r="I357" s="863"/>
      <c r="J357" s="863"/>
      <c r="K357" s="864"/>
      <c r="L357" s="978"/>
      <c r="M357" s="978"/>
      <c r="N357" s="978"/>
      <c r="O357" s="978"/>
      <c r="P357" s="978"/>
    </row>
    <row r="358" spans="1:26" ht="18.75">
      <c r="A358" s="982"/>
      <c r="B358" s="990"/>
      <c r="C358" s="983"/>
      <c r="D358" s="990"/>
      <c r="E358" s="988" t="s">
        <v>161</v>
      </c>
      <c r="F358" s="990"/>
      <c r="G358" s="991"/>
      <c r="H358" s="185" t="s">
        <v>35</v>
      </c>
      <c r="I358" s="863">
        <v>0</v>
      </c>
      <c r="J358" s="863">
        <f ca="1">IFERROR(__xludf.DUMMYFUNCTION("IMPORTRANGE(""https://docs.google.com/spreadsheets/d/1XWAQStnk-4SwqDmLtmXYiTMKHgktTP8We1SCoS47DrQ/edit?usp=sharing"",""จัดที่ดิน!W51"")"),634)</f>
        <v>634</v>
      </c>
      <c r="K358" s="864">
        <f t="shared" ref="K358:K365" si="161">IF(I358&gt;0,J358*100/I358,0)</f>
        <v>0</v>
      </c>
      <c r="L358" s="978"/>
      <c r="M358" s="978"/>
      <c r="N358" s="978"/>
      <c r="O358" s="978"/>
      <c r="P358" s="978"/>
    </row>
    <row r="359" spans="1:26" ht="18.75">
      <c r="A359" s="982"/>
      <c r="B359" s="990"/>
      <c r="C359" s="983"/>
      <c r="D359" s="990"/>
      <c r="E359" s="990"/>
      <c r="F359" s="990"/>
      <c r="G359" s="991"/>
      <c r="H359" s="185" t="s">
        <v>46</v>
      </c>
      <c r="I359" s="863">
        <f ca="1">IFERROR(__xludf.DUMMYFUNCTION("IMPORTRANGE(""https://docs.google.com/spreadsheets/d/1QqKyyYR6Q21VydFLVH3TRQUabQu_ym0Zz7PgGX0-kHA/edit?usp=sharing"",""แผน!EO51"")"),13000)</f>
        <v>13000</v>
      </c>
      <c r="J359" s="863">
        <f ca="1">IFERROR(__xludf.DUMMYFUNCTION("IMPORTRANGE(""https://docs.google.com/spreadsheets/d/1XWAQStnk-4SwqDmLtmXYiTMKHgktTP8We1SCoS47DrQ/edit?usp=sharing"",""จัดที่ดิน!X51"")"),5226)</f>
        <v>5226</v>
      </c>
      <c r="K359" s="864">
        <f t="shared" ca="1" si="161"/>
        <v>40.200000000000003</v>
      </c>
      <c r="L359" s="978"/>
      <c r="M359" s="978"/>
      <c r="N359" s="978"/>
      <c r="O359" s="978"/>
      <c r="P359" s="978"/>
    </row>
    <row r="360" spans="1:26" ht="18.75">
      <c r="A360" s="982"/>
      <c r="B360" s="990"/>
      <c r="C360" s="983"/>
      <c r="D360" s="990"/>
      <c r="E360" s="988" t="s">
        <v>162</v>
      </c>
      <c r="F360" s="990"/>
      <c r="G360" s="991"/>
      <c r="H360" s="757" t="s">
        <v>35</v>
      </c>
      <c r="I360" s="863">
        <f ca="1">IFERROR(__xludf.DUMMYFUNCTION("IMPORTRANGE(""https://docs.google.com/spreadsheets/d/1QqKyyYR6Q21VydFLVH3TRQUabQu_ym0Zz7PgGX0-kHA/edit?usp=sharing"",""แผน!EP51"")"),1300)</f>
        <v>1300</v>
      </c>
      <c r="J360" s="863">
        <f ca="1">IFERROR(__xludf.DUMMYFUNCTION("IMPORTRANGE(""https://docs.google.com/spreadsheets/d/1XWAQStnk-4SwqDmLtmXYiTMKHgktTP8We1SCoS47DrQ/edit?usp=sharing"",""จัดที่ดิน!Y51"")"),538)</f>
        <v>538</v>
      </c>
      <c r="K360" s="864">
        <f t="shared" ca="1" si="161"/>
        <v>41.384615384615387</v>
      </c>
      <c r="L360" s="978"/>
      <c r="M360" s="978"/>
      <c r="N360" s="978"/>
      <c r="O360" s="978"/>
      <c r="P360" s="978"/>
    </row>
    <row r="361" spans="1:26" ht="18.75">
      <c r="A361" s="982"/>
      <c r="B361" s="990"/>
      <c r="C361" s="983"/>
      <c r="D361" s="990"/>
      <c r="E361" s="990"/>
      <c r="F361" s="990"/>
      <c r="G361" s="991"/>
      <c r="H361" s="757" t="s">
        <v>46</v>
      </c>
      <c r="I361" s="863">
        <v>0</v>
      </c>
      <c r="J361" s="863">
        <f ca="1">IFERROR(__xludf.DUMMYFUNCTION("IMPORTRANGE(""https://docs.google.com/spreadsheets/d/1XWAQStnk-4SwqDmLtmXYiTMKHgktTP8We1SCoS47DrQ/edit?usp=sharing"",""จัดที่ดิน!Z51"")"),4627.96)</f>
        <v>4627.96</v>
      </c>
      <c r="K361" s="864">
        <f t="shared" si="161"/>
        <v>0</v>
      </c>
      <c r="L361" s="978"/>
      <c r="M361" s="978"/>
      <c r="N361" s="978"/>
      <c r="O361" s="978"/>
      <c r="P361" s="978"/>
    </row>
    <row r="362" spans="1:26" ht="18.75">
      <c r="A362" s="982"/>
      <c r="B362" s="990"/>
      <c r="C362" s="983"/>
      <c r="D362" s="990"/>
      <c r="E362" s="988" t="s">
        <v>163</v>
      </c>
      <c r="F362" s="990"/>
      <c r="G362" s="991"/>
      <c r="H362" s="757" t="s">
        <v>35</v>
      </c>
      <c r="I362" s="863">
        <f ca="1">IFERROR(__xludf.DUMMYFUNCTION("IMPORTRANGE(""https://docs.google.com/spreadsheets/d/1QqKyyYR6Q21VydFLVH3TRQUabQu_ym0Zz7PgGX0-kHA/edit?usp=sharing"",""แผน!EP51"")"),1300)</f>
        <v>1300</v>
      </c>
      <c r="J362" s="863">
        <f ca="1">IFERROR(__xludf.DUMMYFUNCTION("IMPORTRANGE(""https://docs.google.com/spreadsheets/d/1XWAQStnk-4SwqDmLtmXYiTMKHgktTP8We1SCoS47DrQ/edit?usp=sharing"",""จัดที่ดิน!AA51"")"),128)</f>
        <v>128</v>
      </c>
      <c r="K362" s="864">
        <f t="shared" ca="1" si="161"/>
        <v>9.8461538461538467</v>
      </c>
      <c r="L362" s="978"/>
      <c r="M362" s="978"/>
      <c r="N362" s="978"/>
      <c r="O362" s="978"/>
      <c r="P362" s="978"/>
    </row>
    <row r="363" spans="1:26" ht="18.75">
      <c r="A363" s="1192" t="s">
        <v>164</v>
      </c>
      <c r="B363" s="990"/>
      <c r="C363" s="983"/>
      <c r="D363" s="990"/>
      <c r="E363" s="989"/>
      <c r="F363" s="990"/>
      <c r="G363" s="991"/>
      <c r="H363" s="757" t="s">
        <v>46</v>
      </c>
      <c r="I363" s="863">
        <v>0</v>
      </c>
      <c r="J363" s="863">
        <f ca="1">IFERROR(__xludf.DUMMYFUNCTION("IMPORTRANGE(""https://docs.google.com/spreadsheets/d/1XWAQStnk-4SwqDmLtmXYiTMKHgktTP8We1SCoS47DrQ/edit?usp=sharing"",""จัดที่ดิน!AB51"")"),1181.28)</f>
        <v>1181.28</v>
      </c>
      <c r="K363" s="864">
        <f t="shared" si="161"/>
        <v>0</v>
      </c>
      <c r="L363" s="978"/>
      <c r="M363" s="978"/>
      <c r="N363" s="978"/>
      <c r="O363" s="978"/>
      <c r="P363" s="978"/>
    </row>
    <row r="364" spans="1:26" ht="19.5">
      <c r="A364" s="1193"/>
      <c r="B364" s="1194"/>
      <c r="C364" s="1195"/>
      <c r="D364" s="1196" t="s">
        <v>165</v>
      </c>
      <c r="E364" s="1197"/>
      <c r="F364" s="1197"/>
      <c r="G364" s="1198"/>
      <c r="H364" s="477" t="s">
        <v>35</v>
      </c>
      <c r="I364" s="1199">
        <f t="shared" ref="I364:J364" ca="1" si="162">I365+I374</f>
        <v>1500</v>
      </c>
      <c r="J364" s="1199">
        <f t="shared" ca="1" si="162"/>
        <v>389</v>
      </c>
      <c r="K364" s="1200">
        <f t="shared" ca="1" si="161"/>
        <v>25.933333333333334</v>
      </c>
      <c r="L364" s="1201"/>
      <c r="M364" s="1201"/>
      <c r="N364" s="1201"/>
      <c r="O364" s="1201"/>
      <c r="P364" s="120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02"/>
      <c r="B365" s="1203"/>
      <c r="C365" s="1204"/>
      <c r="D365" s="1204" t="s">
        <v>166</v>
      </c>
      <c r="E365" s="1205"/>
      <c r="F365" s="1205"/>
      <c r="G365" s="1206"/>
      <c r="H365" s="488" t="s">
        <v>35</v>
      </c>
      <c r="I365" s="1207">
        <f ca="1">IFERROR(__xludf.DUMMYFUNCTION("IMPORTRANGE(""https://docs.google.com/spreadsheets/d/1QqKyyYR6Q21VydFLVH3TRQUabQu_ym0Zz7PgGX0-kHA/edit?usp=sharing"",""แผน!EJ51"")"),300)</f>
        <v>300</v>
      </c>
      <c r="J365" s="1207">
        <f ca="1">J372</f>
        <v>44</v>
      </c>
      <c r="K365" s="1208">
        <f t="shared" ca="1" si="161"/>
        <v>14.666666666666666</v>
      </c>
      <c r="L365" s="1209"/>
      <c r="M365" s="1209"/>
      <c r="N365" s="1209"/>
      <c r="O365" s="1209"/>
      <c r="P365" s="120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02"/>
      <c r="B366" s="1203"/>
      <c r="C366" s="1204"/>
      <c r="D366" s="1210" t="s">
        <v>167</v>
      </c>
      <c r="E366" s="1205"/>
      <c r="F366" s="1205"/>
      <c r="G366" s="1206"/>
      <c r="H366" s="1211"/>
      <c r="I366" s="1212"/>
      <c r="J366" s="1212"/>
      <c r="K366" s="1209"/>
      <c r="L366" s="1209"/>
      <c r="M366" s="1209"/>
      <c r="N366" s="1209"/>
      <c r="O366" s="1209"/>
      <c r="P366" s="120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982"/>
      <c r="B367" s="983"/>
      <c r="C367" s="979" t="s">
        <v>16</v>
      </c>
      <c r="D367" s="984" t="s">
        <v>38</v>
      </c>
      <c r="E367" s="985"/>
      <c r="F367" s="985"/>
      <c r="G367" s="986"/>
      <c r="H367" s="987"/>
      <c r="I367" s="863"/>
      <c r="J367" s="863"/>
      <c r="K367" s="864"/>
      <c r="L367" s="978"/>
      <c r="M367" s="978"/>
      <c r="N367" s="978"/>
      <c r="O367" s="978"/>
      <c r="P367" s="978"/>
    </row>
    <row r="368" spans="1:26" ht="18.75">
      <c r="A368" s="982"/>
      <c r="B368" s="990"/>
      <c r="C368" s="983"/>
      <c r="D368" s="990"/>
      <c r="E368" s="988" t="s">
        <v>161</v>
      </c>
      <c r="F368" s="990"/>
      <c r="G368" s="991"/>
      <c r="H368" s="185" t="s">
        <v>35</v>
      </c>
      <c r="I368" s="863">
        <v>0</v>
      </c>
      <c r="J368" s="863">
        <f ca="1">IFERROR(__xludf.DUMMYFUNCTION("IMPORTRANGE(""https://docs.google.com/spreadsheets/d/1XWAQStnk-4SwqDmLtmXYiTMKHgktTP8We1SCoS47DrQ/edit?usp=sharing"",""จัดที่ดิน!E51"")"),246)</f>
        <v>246</v>
      </c>
      <c r="K368" s="864">
        <f t="shared" ref="K368:K374" si="163">IF(I368&gt;0,J368*100/I368,0)</f>
        <v>0</v>
      </c>
      <c r="L368" s="978"/>
      <c r="M368" s="978"/>
      <c r="N368" s="978"/>
      <c r="O368" s="978"/>
      <c r="P368" s="978"/>
    </row>
    <row r="369" spans="1:26" ht="18.75">
      <c r="A369" s="982"/>
      <c r="B369" s="990"/>
      <c r="C369" s="983"/>
      <c r="D369" s="990"/>
      <c r="E369" s="990"/>
      <c r="F369" s="990"/>
      <c r="G369" s="991"/>
      <c r="H369" s="185" t="s">
        <v>46</v>
      </c>
      <c r="I369" s="863">
        <f ca="1">IFERROR(__xludf.DUMMYFUNCTION("IMPORTRANGE(""https://docs.google.com/spreadsheets/d/1QqKyyYR6Q21VydFLVH3TRQUabQu_ym0Zz7PgGX0-kHA/edit?usp=sharing"",""แผน!EI51"")"),3000)</f>
        <v>3000</v>
      </c>
      <c r="J369" s="863">
        <f ca="1">IFERROR(__xludf.DUMMYFUNCTION("IMPORTRANGE(""https://docs.google.com/spreadsheets/d/1XWAQStnk-4SwqDmLtmXYiTMKHgktTP8We1SCoS47DrQ/edit?usp=sharing"",""จัดที่ดิน!F51"")"),1547.47)</f>
        <v>1547.47</v>
      </c>
      <c r="K369" s="864">
        <f t="shared" ca="1" si="163"/>
        <v>51.582333333333331</v>
      </c>
      <c r="L369" s="978"/>
      <c r="M369" s="978"/>
      <c r="N369" s="978"/>
      <c r="O369" s="978"/>
      <c r="P369" s="978"/>
    </row>
    <row r="370" spans="1:26" ht="18.75">
      <c r="A370" s="982"/>
      <c r="B370" s="990"/>
      <c r="C370" s="983"/>
      <c r="D370" s="990"/>
      <c r="E370" s="988" t="s">
        <v>162</v>
      </c>
      <c r="F370" s="990"/>
      <c r="G370" s="991"/>
      <c r="H370" s="757" t="s">
        <v>35</v>
      </c>
      <c r="I370" s="863">
        <f ca="1">IFERROR(__xludf.DUMMYFUNCTION("IMPORTRANGE(""https://docs.google.com/spreadsheets/d/1QqKyyYR6Q21VydFLVH3TRQUabQu_ym0Zz7PgGX0-kHA/edit?usp=sharing"",""แผน!EJ51"")"),300)</f>
        <v>300</v>
      </c>
      <c r="J370" s="863">
        <f ca="1">IFERROR(__xludf.DUMMYFUNCTION("IMPORTRANGE(""https://docs.google.com/spreadsheets/d/1XWAQStnk-4SwqDmLtmXYiTMKHgktTP8We1SCoS47DrQ/edit?usp=sharing"",""จัดที่ดิน!G51"")"),150)</f>
        <v>150</v>
      </c>
      <c r="K370" s="864">
        <f t="shared" ca="1" si="163"/>
        <v>50</v>
      </c>
      <c r="L370" s="978"/>
      <c r="M370" s="978"/>
      <c r="N370" s="978"/>
      <c r="O370" s="978"/>
      <c r="P370" s="978"/>
    </row>
    <row r="371" spans="1:26" ht="18.75">
      <c r="A371" s="982"/>
      <c r="B371" s="990"/>
      <c r="C371" s="983"/>
      <c r="D371" s="990"/>
      <c r="E371" s="990"/>
      <c r="F371" s="990"/>
      <c r="G371" s="991"/>
      <c r="H371" s="757" t="s">
        <v>46</v>
      </c>
      <c r="I371" s="863">
        <v>0</v>
      </c>
      <c r="J371" s="863">
        <f ca="1">IFERROR(__xludf.DUMMYFUNCTION("IMPORTRANGE(""https://docs.google.com/spreadsheets/d/1XWAQStnk-4SwqDmLtmXYiTMKHgktTP8We1SCoS47DrQ/edit?usp=sharing"",""จัดที่ดิน!H51"")"),975.26)</f>
        <v>975.26</v>
      </c>
      <c r="K371" s="864">
        <f t="shared" si="163"/>
        <v>0</v>
      </c>
      <c r="L371" s="978"/>
      <c r="M371" s="978"/>
      <c r="N371" s="978"/>
      <c r="O371" s="978"/>
      <c r="P371" s="978"/>
    </row>
    <row r="372" spans="1:26" ht="18.75">
      <c r="A372" s="982"/>
      <c r="B372" s="990"/>
      <c r="C372" s="983"/>
      <c r="D372" s="990"/>
      <c r="E372" s="988" t="s">
        <v>163</v>
      </c>
      <c r="F372" s="990"/>
      <c r="G372" s="991"/>
      <c r="H372" s="757" t="s">
        <v>35</v>
      </c>
      <c r="I372" s="863">
        <f ca="1">IFERROR(__xludf.DUMMYFUNCTION("IMPORTRANGE(""https://docs.google.com/spreadsheets/d/1QqKyyYR6Q21VydFLVH3TRQUabQu_ym0Zz7PgGX0-kHA/edit?usp=sharing"",""แผน!EJ51"")"),300)</f>
        <v>300</v>
      </c>
      <c r="J372" s="863">
        <f ca="1">IFERROR(__xludf.DUMMYFUNCTION("IMPORTRANGE(""https://docs.google.com/spreadsheets/d/1XWAQStnk-4SwqDmLtmXYiTMKHgktTP8We1SCoS47DrQ/edit?usp=sharing"",""จัดที่ดิน!I51"")"),44)</f>
        <v>44</v>
      </c>
      <c r="K372" s="864">
        <f t="shared" ca="1" si="163"/>
        <v>14.666666666666666</v>
      </c>
      <c r="L372" s="978"/>
      <c r="M372" s="978"/>
      <c r="N372" s="978"/>
      <c r="O372" s="978"/>
      <c r="P372" s="978"/>
    </row>
    <row r="373" spans="1:26" ht="18.75">
      <c r="A373" s="1192" t="s">
        <v>164</v>
      </c>
      <c r="B373" s="990"/>
      <c r="C373" s="983"/>
      <c r="D373" s="990"/>
      <c r="E373" s="989"/>
      <c r="F373" s="990"/>
      <c r="G373" s="991"/>
      <c r="H373" s="757" t="s">
        <v>46</v>
      </c>
      <c r="I373" s="863">
        <v>0</v>
      </c>
      <c r="J373" s="863">
        <f ca="1">IFERROR(__xludf.DUMMYFUNCTION("IMPORTRANGE(""https://docs.google.com/spreadsheets/d/1XWAQStnk-4SwqDmLtmXYiTMKHgktTP8We1SCoS47DrQ/edit?usp=sharing"",""จัดที่ดิน!J51"")"),288.61)</f>
        <v>288.61</v>
      </c>
      <c r="K373" s="864">
        <f t="shared" si="163"/>
        <v>0</v>
      </c>
      <c r="L373" s="978"/>
      <c r="M373" s="978"/>
      <c r="N373" s="978"/>
      <c r="O373" s="978"/>
      <c r="P373" s="978"/>
    </row>
    <row r="374" spans="1:26" ht="19.5">
      <c r="A374" s="1202"/>
      <c r="B374" s="1203"/>
      <c r="C374" s="1204"/>
      <c r="D374" s="1204" t="s">
        <v>168</v>
      </c>
      <c r="E374" s="1205"/>
      <c r="F374" s="1205"/>
      <c r="G374" s="1206"/>
      <c r="H374" s="488" t="s">
        <v>35</v>
      </c>
      <c r="I374" s="1213">
        <f ca="1">IFERROR(__xludf.DUMMYFUNCTION("IMPORTRANGE(""https://docs.google.com/spreadsheets/d/1QqKyyYR6Q21VydFLVH3TRQUabQu_ym0Zz7PgGX0-kHA/edit?usp=sharing"",""แผน!EU51"")"),1200)</f>
        <v>1200</v>
      </c>
      <c r="J374" s="1207">
        <f ca="1">J381</f>
        <v>345</v>
      </c>
      <c r="K374" s="1208">
        <f t="shared" ca="1" si="163"/>
        <v>28.75</v>
      </c>
      <c r="L374" s="1209"/>
      <c r="M374" s="1209"/>
      <c r="N374" s="1209"/>
      <c r="O374" s="1209"/>
      <c r="P374" s="120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02"/>
      <c r="B375" s="1203"/>
      <c r="C375" s="1204"/>
      <c r="D375" s="1210" t="s">
        <v>169</v>
      </c>
      <c r="E375" s="1205"/>
      <c r="F375" s="1205"/>
      <c r="G375" s="1206"/>
      <c r="H375" s="1211"/>
      <c r="I375" s="1212"/>
      <c r="J375" s="1212"/>
      <c r="K375" s="1209"/>
      <c r="L375" s="1209"/>
      <c r="M375" s="1209"/>
      <c r="N375" s="1209"/>
      <c r="O375" s="1209"/>
      <c r="P375" s="120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982"/>
      <c r="B376" s="983"/>
      <c r="C376" s="979" t="s">
        <v>16</v>
      </c>
      <c r="D376" s="984" t="s">
        <v>38</v>
      </c>
      <c r="E376" s="985"/>
      <c r="F376" s="985"/>
      <c r="G376" s="986"/>
      <c r="H376" s="987"/>
      <c r="I376" s="863"/>
      <c r="J376" s="863"/>
      <c r="K376" s="864"/>
      <c r="L376" s="978"/>
      <c r="M376" s="978"/>
      <c r="N376" s="978"/>
      <c r="O376" s="978"/>
      <c r="P376" s="978"/>
    </row>
    <row r="377" spans="1:26" ht="18.75">
      <c r="A377" s="982"/>
      <c r="B377" s="990"/>
      <c r="C377" s="983"/>
      <c r="D377" s="990"/>
      <c r="E377" s="988" t="s">
        <v>161</v>
      </c>
      <c r="F377" s="990"/>
      <c r="G377" s="991"/>
      <c r="H377" s="185" t="s">
        <v>35</v>
      </c>
      <c r="I377" s="863">
        <v>0</v>
      </c>
      <c r="J377" s="863">
        <f ca="1">IFERROR(__xludf.DUMMYFUNCTION("IMPORTRANGE(""https://docs.google.com/spreadsheets/d/1XWAQStnk-4SwqDmLtmXYiTMKHgktTP8We1SCoS47DrQ/edit?usp=sharing"",""จัดที่ดิน!AH51"")"),388)</f>
        <v>388</v>
      </c>
      <c r="K377" s="864">
        <f t="shared" ref="K377:K382" si="164">IF(I377&gt;0,J377*100/I377,0)</f>
        <v>0</v>
      </c>
      <c r="L377" s="978"/>
      <c r="M377" s="978"/>
      <c r="N377" s="978"/>
      <c r="O377" s="978"/>
      <c r="P377" s="978"/>
    </row>
    <row r="378" spans="1:26" ht="18.75">
      <c r="A378" s="982"/>
      <c r="B378" s="990"/>
      <c r="C378" s="983"/>
      <c r="D378" s="990"/>
      <c r="E378" s="990"/>
      <c r="F378" s="990"/>
      <c r="G378" s="991"/>
      <c r="H378" s="185" t="s">
        <v>46</v>
      </c>
      <c r="I378" s="863">
        <f ca="1">IFERROR(__xludf.DUMMYFUNCTION("IMPORTRANGE(""https://docs.google.com/spreadsheets/d/1QqKyyYR6Q21VydFLVH3TRQUabQu_ym0Zz7PgGX0-kHA/edit?usp=sharing"",""แผน!ET51"")"),10000)</f>
        <v>10000</v>
      </c>
      <c r="J378" s="863">
        <f ca="1">IFERROR(__xludf.DUMMYFUNCTION("IMPORTRANGE(""https://docs.google.com/spreadsheets/d/1XWAQStnk-4SwqDmLtmXYiTMKHgktTP8We1SCoS47DrQ/edit?usp=sharing"",""จัดที่ดิน!AI51"")"),3678.53)</f>
        <v>3678.53</v>
      </c>
      <c r="K378" s="864">
        <f t="shared" ca="1" si="164"/>
        <v>36.785299999999999</v>
      </c>
      <c r="L378" s="978"/>
      <c r="M378" s="978"/>
      <c r="N378" s="978"/>
      <c r="O378" s="978"/>
      <c r="P378" s="978"/>
    </row>
    <row r="379" spans="1:26" ht="18.75">
      <c r="A379" s="982"/>
      <c r="B379" s="990"/>
      <c r="C379" s="983"/>
      <c r="D379" s="990"/>
      <c r="E379" s="988" t="s">
        <v>162</v>
      </c>
      <c r="F379" s="990"/>
      <c r="G379" s="991"/>
      <c r="H379" s="757" t="s">
        <v>35</v>
      </c>
      <c r="I379" s="863">
        <f ca="1">IFERROR(__xludf.DUMMYFUNCTION("IMPORTRANGE(""https://docs.google.com/spreadsheets/d/1QqKyyYR6Q21VydFLVH3TRQUabQu_ym0Zz7PgGX0-kHA/edit?usp=sharing"",""แผน!EU51"")"),1200)</f>
        <v>1200</v>
      </c>
      <c r="J379" s="863">
        <f ca="1">IFERROR(__xludf.DUMMYFUNCTION("IMPORTRANGE(""https://docs.google.com/spreadsheets/d/1XWAQStnk-4SwqDmLtmXYiTMKHgktTP8We1SCoS47DrQ/edit?usp=sharing"",""จัดที่ดิน!AJ51"")"),649)</f>
        <v>649</v>
      </c>
      <c r="K379" s="864">
        <f t="shared" ca="1" si="164"/>
        <v>54.083333333333336</v>
      </c>
      <c r="L379" s="978"/>
      <c r="M379" s="978"/>
      <c r="N379" s="978"/>
      <c r="O379" s="978"/>
      <c r="P379" s="978"/>
    </row>
    <row r="380" spans="1:26" ht="18.75">
      <c r="A380" s="982"/>
      <c r="B380" s="990"/>
      <c r="C380" s="983"/>
      <c r="D380" s="990"/>
      <c r="E380" s="990"/>
      <c r="F380" s="990"/>
      <c r="G380" s="991"/>
      <c r="H380" s="757" t="s">
        <v>46</v>
      </c>
      <c r="I380" s="863">
        <v>0</v>
      </c>
      <c r="J380" s="863">
        <f ca="1">IFERROR(__xludf.DUMMYFUNCTION("IMPORTRANGE(""https://docs.google.com/spreadsheets/d/1XWAQStnk-4SwqDmLtmXYiTMKHgktTP8We1SCoS47DrQ/edit?usp=sharing"",""จัดที่ดิน!AK51"")"),6644.9)</f>
        <v>6644.9</v>
      </c>
      <c r="K380" s="864">
        <f t="shared" si="164"/>
        <v>0</v>
      </c>
      <c r="L380" s="978"/>
      <c r="M380" s="978"/>
      <c r="N380" s="978"/>
      <c r="O380" s="978"/>
      <c r="P380" s="978"/>
    </row>
    <row r="381" spans="1:26" ht="18.75">
      <c r="A381" s="982"/>
      <c r="B381" s="990"/>
      <c r="C381" s="983"/>
      <c r="D381" s="990"/>
      <c r="E381" s="988" t="s">
        <v>163</v>
      </c>
      <c r="F381" s="990"/>
      <c r="G381" s="991"/>
      <c r="H381" s="757" t="s">
        <v>35</v>
      </c>
      <c r="I381" s="863">
        <f ca="1">IFERROR(__xludf.DUMMYFUNCTION("IMPORTRANGE(""https://docs.google.com/spreadsheets/d/1QqKyyYR6Q21VydFLVH3TRQUabQu_ym0Zz7PgGX0-kHA/edit?usp=sharing"",""แผน!EU51"")"),1200)</f>
        <v>1200</v>
      </c>
      <c r="J381" s="863">
        <f ca="1">IFERROR(__xludf.DUMMYFUNCTION("IMPORTRANGE(""https://docs.google.com/spreadsheets/d/1XWAQStnk-4SwqDmLtmXYiTMKHgktTP8We1SCoS47DrQ/edit?usp=sharing"",""จัดที่ดิน!AL51"")"),345)</f>
        <v>345</v>
      </c>
      <c r="K381" s="864">
        <f t="shared" ca="1" si="164"/>
        <v>28.75</v>
      </c>
      <c r="L381" s="978"/>
      <c r="M381" s="978"/>
      <c r="N381" s="978"/>
      <c r="O381" s="978"/>
      <c r="P381" s="978"/>
    </row>
    <row r="382" spans="1:26" ht="18.75">
      <c r="A382" s="1192" t="s">
        <v>164</v>
      </c>
      <c r="B382" s="990"/>
      <c r="C382" s="983"/>
      <c r="D382" s="990"/>
      <c r="E382" s="989"/>
      <c r="F382" s="990"/>
      <c r="G382" s="991"/>
      <c r="H382" s="757" t="s">
        <v>46</v>
      </c>
      <c r="I382" s="863">
        <v>0</v>
      </c>
      <c r="J382" s="863">
        <f ca="1">IFERROR(__xludf.DUMMYFUNCTION("IMPORTRANGE(""https://docs.google.com/spreadsheets/d/1XWAQStnk-4SwqDmLtmXYiTMKHgktTP8We1SCoS47DrQ/edit?usp=sharing"",""จัดที่ดิน!AM51"")"),3884.87)</f>
        <v>3884.87</v>
      </c>
      <c r="K382" s="864">
        <f t="shared" si="164"/>
        <v>0</v>
      </c>
      <c r="L382" s="978"/>
      <c r="M382" s="978"/>
      <c r="N382" s="978"/>
      <c r="O382" s="978"/>
      <c r="P382" s="978"/>
    </row>
    <row r="383" spans="1:26" ht="19.5">
      <c r="A383" s="1044"/>
      <c r="B383" s="1051"/>
      <c r="C383" s="1045"/>
      <c r="D383" s="1178" t="s">
        <v>170</v>
      </c>
      <c r="E383" s="1045"/>
      <c r="F383" s="1045"/>
      <c r="G383" s="1047"/>
      <c r="H383" s="1179"/>
      <c r="I383" s="1048"/>
      <c r="J383" s="1048"/>
      <c r="K383" s="1049"/>
      <c r="L383" s="1049"/>
      <c r="M383" s="1049"/>
      <c r="N383" s="1049"/>
      <c r="O383" s="1049"/>
      <c r="P383" s="1049"/>
    </row>
    <row r="384" spans="1:26" ht="19.5">
      <c r="A384" s="982"/>
      <c r="B384" s="983"/>
      <c r="C384" s="860" t="s">
        <v>16</v>
      </c>
      <c r="D384" s="984" t="s">
        <v>38</v>
      </c>
      <c r="E384" s="985"/>
      <c r="F384" s="985"/>
      <c r="G384" s="986"/>
      <c r="H384" s="987"/>
      <c r="I384" s="863"/>
      <c r="J384" s="863"/>
      <c r="K384" s="864"/>
      <c r="L384" s="978"/>
      <c r="M384" s="978"/>
      <c r="N384" s="978"/>
      <c r="O384" s="978"/>
      <c r="P384" s="978"/>
    </row>
    <row r="385" spans="1:26" ht="18.75">
      <c r="A385" s="1112"/>
      <c r="B385" s="1115"/>
      <c r="C385" s="1113"/>
      <c r="D385" s="1115"/>
      <c r="E385" s="1214" t="s">
        <v>163</v>
      </c>
      <c r="F385" s="1115"/>
      <c r="G385" s="1116"/>
      <c r="H385" s="499" t="s">
        <v>35</v>
      </c>
      <c r="I385" s="1117">
        <f ca="1">IFERROR(__xludf.DUMMYFUNCTION("IMPORTRANGE(""https://docs.google.com/spreadsheets/d/1QqKyyYR6Q21VydFLVH3TRQUabQu_ym0Zz7PgGX0-kHA/edit?usp=sharing"",""แผน!EW51"")"),70)</f>
        <v>70</v>
      </c>
      <c r="J385" s="1117">
        <f ca="1">IFERROR(__xludf.DUMMYFUNCTION("IMPORTRANGE(""https://docs.google.com/spreadsheets/d/1XWAQStnk-4SwqDmLtmXYiTMKHgktTP8We1SCoS47DrQ/edit?usp=sharing"",""จัดที่ดิน!AP51"")"),0)</f>
        <v>0</v>
      </c>
      <c r="K385" s="1215">
        <f ca="1">IF(I385&gt;0,J385*100/I385,0)</f>
        <v>0</v>
      </c>
      <c r="L385" s="1118"/>
      <c r="M385" s="1118"/>
      <c r="N385" s="1118"/>
      <c r="O385" s="1118"/>
      <c r="P385" s="1118"/>
    </row>
    <row r="386" spans="1:26" ht="19.5" hidden="1">
      <c r="A386" s="1216" t="s">
        <v>171</v>
      </c>
      <c r="B386" s="1217"/>
      <c r="C386" s="1217"/>
      <c r="D386" s="1217"/>
      <c r="E386" s="1218"/>
      <c r="F386" s="1218"/>
      <c r="G386" s="1219"/>
      <c r="H386" s="1220"/>
      <c r="I386" s="1221"/>
      <c r="J386" s="1221"/>
      <c r="K386" s="1222"/>
      <c r="L386" s="1222"/>
      <c r="M386" s="1222"/>
      <c r="N386" s="1222"/>
      <c r="O386" s="1222"/>
      <c r="P386" s="1222"/>
    </row>
    <row r="387" spans="1:26" ht="19.5" hidden="1">
      <c r="A387" s="1223" t="s">
        <v>172</v>
      </c>
      <c r="B387" s="1224"/>
      <c r="C387" s="1224"/>
      <c r="D387" s="1225"/>
      <c r="E387" s="1224"/>
      <c r="F387" s="1224"/>
      <c r="G387" s="1224"/>
      <c r="H387" s="1226"/>
      <c r="I387" s="1227"/>
      <c r="J387" s="1227"/>
      <c r="K387" s="1228"/>
      <c r="L387" s="1228"/>
      <c r="M387" s="1228"/>
      <c r="N387" s="1228"/>
      <c r="O387" s="1228"/>
      <c r="P387" s="1228"/>
    </row>
    <row r="388" spans="1:26" ht="19.5" hidden="1">
      <c r="A388" s="1229"/>
      <c r="B388" s="1230" t="s">
        <v>173</v>
      </c>
      <c r="C388" s="1231"/>
      <c r="D388" s="1232"/>
      <c r="E388" s="1232"/>
      <c r="F388" s="1232"/>
      <c r="G388" s="1233"/>
      <c r="H388" s="520" t="s">
        <v>66</v>
      </c>
      <c r="I388" s="1234">
        <f t="shared" ref="I388:J388" si="165">I400</f>
        <v>0</v>
      </c>
      <c r="J388" s="1234">
        <f t="shared" si="165"/>
        <v>0</v>
      </c>
      <c r="K388" s="1235">
        <f>IF(I388&gt;0,J388*100/I388,0)</f>
        <v>0</v>
      </c>
      <c r="L388" s="1236"/>
      <c r="M388" s="1236"/>
      <c r="N388" s="1236"/>
      <c r="O388" s="1236"/>
      <c r="P388" s="1236"/>
    </row>
    <row r="389" spans="1:26" ht="19.5" hidden="1">
      <c r="A389" s="965"/>
      <c r="B389" s="966"/>
      <c r="C389" s="967" t="s">
        <v>16</v>
      </c>
      <c r="D389" s="968" t="s">
        <v>17</v>
      </c>
      <c r="E389" s="966"/>
      <c r="F389" s="966"/>
      <c r="G389" s="969"/>
      <c r="H389" s="152" t="s">
        <v>12</v>
      </c>
      <c r="I389" s="970"/>
      <c r="J389" s="970"/>
      <c r="K389" s="971"/>
      <c r="L389" s="972">
        <f t="shared" ref="L389:N389" ca="1" si="166">L390+L391</f>
        <v>0</v>
      </c>
      <c r="M389" s="972">
        <f t="shared" ca="1" si="166"/>
        <v>0</v>
      </c>
      <c r="N389" s="972">
        <f t="shared" ca="1" si="166"/>
        <v>0</v>
      </c>
      <c r="O389" s="972">
        <f t="shared" ref="O389:O397" ca="1" si="167">IF(L389&gt;0,N389*100/L389,0)</f>
        <v>0</v>
      </c>
      <c r="P389" s="972">
        <f t="shared" ref="P389:P397" ca="1" si="168">IF(M389&gt;0,N389*100/M389,0)</f>
        <v>0</v>
      </c>
      <c r="Q389" s="851"/>
      <c r="R389" s="851"/>
      <c r="S389" s="851"/>
      <c r="T389" s="851"/>
      <c r="U389" s="851"/>
      <c r="V389" s="851"/>
      <c r="W389" s="851"/>
      <c r="X389" s="851"/>
      <c r="Y389" s="851"/>
      <c r="Z389" s="851"/>
    </row>
    <row r="390" spans="1:26" ht="18.75" hidden="1">
      <c r="A390" s="973"/>
      <c r="B390" s="866"/>
      <c r="C390" s="866"/>
      <c r="D390" s="866"/>
      <c r="E390" s="867" t="s">
        <v>18</v>
      </c>
      <c r="F390" s="866"/>
      <c r="G390" s="974"/>
      <c r="H390" s="158" t="s">
        <v>12</v>
      </c>
      <c r="I390" s="869"/>
      <c r="J390" s="869"/>
      <c r="K390" s="870"/>
      <c r="L390" s="870">
        <f t="shared" ref="L390:N391" si="169">L393+L396</f>
        <v>0</v>
      </c>
      <c r="M390" s="870">
        <f t="shared" si="169"/>
        <v>0</v>
      </c>
      <c r="N390" s="870">
        <f t="shared" si="169"/>
        <v>0</v>
      </c>
      <c r="O390" s="870">
        <f t="shared" si="167"/>
        <v>0</v>
      </c>
      <c r="P390" s="870">
        <f t="shared" si="168"/>
        <v>0</v>
      </c>
      <c r="Q390" s="858"/>
      <c r="R390" s="858"/>
      <c r="S390" s="858"/>
      <c r="T390" s="858"/>
      <c r="U390" s="858"/>
      <c r="V390" s="858"/>
      <c r="W390" s="858"/>
      <c r="X390" s="858"/>
      <c r="Y390" s="858"/>
      <c r="Z390" s="858"/>
    </row>
    <row r="391" spans="1:26" ht="18.75" hidden="1">
      <c r="A391" s="973"/>
      <c r="B391" s="866"/>
      <c r="C391" s="866"/>
      <c r="D391" s="866"/>
      <c r="E391" s="867" t="s">
        <v>19</v>
      </c>
      <c r="F391" s="866"/>
      <c r="G391" s="974"/>
      <c r="H391" s="158" t="s">
        <v>12</v>
      </c>
      <c r="I391" s="869"/>
      <c r="J391" s="869"/>
      <c r="K391" s="870"/>
      <c r="L391" s="870">
        <f t="shared" ca="1" si="169"/>
        <v>0</v>
      </c>
      <c r="M391" s="870">
        <f t="shared" ca="1" si="169"/>
        <v>0</v>
      </c>
      <c r="N391" s="870">
        <f t="shared" ca="1" si="169"/>
        <v>0</v>
      </c>
      <c r="O391" s="870">
        <f t="shared" ca="1" si="167"/>
        <v>0</v>
      </c>
      <c r="P391" s="870">
        <f t="shared" ca="1" si="168"/>
        <v>0</v>
      </c>
      <c r="Q391" s="858"/>
      <c r="R391" s="858"/>
      <c r="S391" s="858"/>
      <c r="T391" s="858"/>
      <c r="U391" s="858"/>
      <c r="V391" s="858"/>
      <c r="W391" s="858"/>
      <c r="X391" s="858"/>
      <c r="Y391" s="858"/>
      <c r="Z391" s="858"/>
    </row>
    <row r="392" spans="1:26" ht="18.75" hidden="1">
      <c r="A392" s="975"/>
      <c r="B392" s="860"/>
      <c r="C392" s="976"/>
      <c r="D392" s="861" t="s">
        <v>20</v>
      </c>
      <c r="E392" s="860"/>
      <c r="F392" s="860"/>
      <c r="G392" s="862"/>
      <c r="H392" s="161" t="s">
        <v>12</v>
      </c>
      <c r="I392" s="977"/>
      <c r="J392" s="977"/>
      <c r="K392" s="978"/>
      <c r="L392" s="864">
        <f t="shared" ref="L392:N392" ca="1" si="170">L393+L394</f>
        <v>0</v>
      </c>
      <c r="M392" s="864">
        <f t="shared" ca="1" si="170"/>
        <v>0</v>
      </c>
      <c r="N392" s="864">
        <f t="shared" ca="1" si="170"/>
        <v>0</v>
      </c>
      <c r="O392" s="864">
        <f t="shared" ca="1" si="167"/>
        <v>0</v>
      </c>
      <c r="P392" s="864">
        <f t="shared" ca="1" si="168"/>
        <v>0</v>
      </c>
      <c r="Q392" s="851"/>
      <c r="R392" s="851"/>
      <c r="S392" s="851"/>
      <c r="T392" s="851"/>
      <c r="U392" s="851"/>
      <c r="V392" s="851"/>
      <c r="W392" s="851"/>
      <c r="X392" s="851"/>
      <c r="Y392" s="851"/>
      <c r="Z392" s="851"/>
    </row>
    <row r="393" spans="1:26" ht="19.5" hidden="1">
      <c r="A393" s="973"/>
      <c r="B393" s="866"/>
      <c r="C393" s="979"/>
      <c r="D393" s="866"/>
      <c r="E393" s="867" t="s">
        <v>36</v>
      </c>
      <c r="F393" s="866"/>
      <c r="G393" s="974"/>
      <c r="H393" s="165" t="s">
        <v>12</v>
      </c>
      <c r="I393" s="980"/>
      <c r="J393" s="980"/>
      <c r="K393" s="981"/>
      <c r="L393" s="870">
        <v>0</v>
      </c>
      <c r="M393" s="870">
        <v>0</v>
      </c>
      <c r="N393" s="870">
        <v>0</v>
      </c>
      <c r="O393" s="870">
        <f t="shared" si="167"/>
        <v>0</v>
      </c>
      <c r="P393" s="870">
        <f t="shared" si="168"/>
        <v>0</v>
      </c>
      <c r="Q393" s="858"/>
      <c r="R393" s="858"/>
      <c r="S393" s="858"/>
      <c r="T393" s="858"/>
      <c r="U393" s="858"/>
      <c r="V393" s="858"/>
      <c r="W393" s="858"/>
      <c r="X393" s="858"/>
      <c r="Y393" s="858"/>
      <c r="Z393" s="858"/>
    </row>
    <row r="394" spans="1:26" ht="19.5" hidden="1">
      <c r="A394" s="973"/>
      <c r="B394" s="866"/>
      <c r="C394" s="979"/>
      <c r="D394" s="866"/>
      <c r="E394" s="867" t="s">
        <v>37</v>
      </c>
      <c r="F394" s="866"/>
      <c r="G394" s="974"/>
      <c r="H394" s="165" t="s">
        <v>12</v>
      </c>
      <c r="I394" s="980"/>
      <c r="J394" s="980"/>
      <c r="K394" s="981"/>
      <c r="L394" s="870">
        <f ca="1">IFERROR(__xludf.DUMMYFUNCTION("IMPORTRANGE(""https://docs.google.com/spreadsheets/d/1MeEWN-I1oV_STSDYn1IFDPWt_1FKiwhDph83XaGc0o0/edit?usp=sharing"",""งบพรบ!FG51"")"),0)</f>
        <v>0</v>
      </c>
      <c r="M394" s="870">
        <f ca="1">IFERROR(__xludf.DUMMYFUNCTION("IMPORTRANGE(""https://docs.google.com/spreadsheets/d/1MeEWN-I1oV_STSDYn1IFDPWt_1FKiwhDph83XaGc0o0/edit?usp=sharing"",""งบพรบ!FL51"")"),0)</f>
        <v>0</v>
      </c>
      <c r="N394" s="870">
        <f ca="1">IFERROR(__xludf.DUMMYFUNCTION("IMPORTRANGE(""https://docs.google.com/spreadsheets/d/1MeEWN-I1oV_STSDYn1IFDPWt_1FKiwhDph83XaGc0o0/edit?usp=sharing"",""งบพรบ!FN51"")"),0)</f>
        <v>0</v>
      </c>
      <c r="O394" s="870">
        <f t="shared" ca="1" si="167"/>
        <v>0</v>
      </c>
      <c r="P394" s="870">
        <f t="shared" ca="1" si="168"/>
        <v>0</v>
      </c>
      <c r="Q394" s="858"/>
      <c r="R394" s="858"/>
      <c r="S394" s="858"/>
      <c r="T394" s="858"/>
      <c r="U394" s="858"/>
      <c r="V394" s="858"/>
      <c r="W394" s="858"/>
      <c r="X394" s="858"/>
      <c r="Y394" s="858"/>
      <c r="Z394" s="858"/>
    </row>
    <row r="395" spans="1:26" ht="18.75" hidden="1">
      <c r="A395" s="975"/>
      <c r="B395" s="860"/>
      <c r="C395" s="976"/>
      <c r="D395" s="861" t="s">
        <v>21</v>
      </c>
      <c r="E395" s="860"/>
      <c r="F395" s="860"/>
      <c r="G395" s="862"/>
      <c r="H395" s="168" t="s">
        <v>12</v>
      </c>
      <c r="I395" s="977"/>
      <c r="J395" s="977"/>
      <c r="K395" s="978"/>
      <c r="L395" s="864">
        <f t="shared" ref="L395:N395" ca="1" si="171">L396+L397</f>
        <v>0</v>
      </c>
      <c r="M395" s="864">
        <f t="shared" ca="1" si="171"/>
        <v>0</v>
      </c>
      <c r="N395" s="864">
        <f t="shared" ca="1" si="171"/>
        <v>0</v>
      </c>
      <c r="O395" s="864">
        <f t="shared" ca="1" si="167"/>
        <v>0</v>
      </c>
      <c r="P395" s="864">
        <f t="shared" ca="1" si="168"/>
        <v>0</v>
      </c>
      <c r="Q395" s="851"/>
      <c r="R395" s="851"/>
      <c r="S395" s="851"/>
      <c r="T395" s="851"/>
      <c r="U395" s="851"/>
      <c r="V395" s="851"/>
      <c r="W395" s="851"/>
      <c r="X395" s="851"/>
      <c r="Y395" s="851"/>
      <c r="Z395" s="851"/>
    </row>
    <row r="396" spans="1:26" ht="19.5" hidden="1">
      <c r="A396" s="973"/>
      <c r="B396" s="866"/>
      <c r="C396" s="979"/>
      <c r="D396" s="866"/>
      <c r="E396" s="867" t="s">
        <v>18</v>
      </c>
      <c r="F396" s="866"/>
      <c r="G396" s="974"/>
      <c r="H396" s="165" t="s">
        <v>12</v>
      </c>
      <c r="I396" s="980"/>
      <c r="J396" s="980"/>
      <c r="K396" s="981"/>
      <c r="L396" s="870">
        <v>0</v>
      </c>
      <c r="M396" s="870">
        <v>0</v>
      </c>
      <c r="N396" s="870">
        <v>0</v>
      </c>
      <c r="O396" s="870">
        <f t="shared" si="167"/>
        <v>0</v>
      </c>
      <c r="P396" s="870">
        <f t="shared" si="168"/>
        <v>0</v>
      </c>
      <c r="Q396" s="858"/>
      <c r="R396" s="858"/>
      <c r="S396" s="858"/>
      <c r="T396" s="858"/>
      <c r="U396" s="858"/>
      <c r="V396" s="858"/>
      <c r="W396" s="858"/>
      <c r="X396" s="858"/>
      <c r="Y396" s="858"/>
      <c r="Z396" s="858"/>
    </row>
    <row r="397" spans="1:26" ht="19.5" hidden="1">
      <c r="A397" s="973"/>
      <c r="B397" s="866"/>
      <c r="C397" s="979"/>
      <c r="D397" s="866"/>
      <c r="E397" s="867" t="s">
        <v>19</v>
      </c>
      <c r="F397" s="866"/>
      <c r="G397" s="974"/>
      <c r="H397" s="169" t="s">
        <v>12</v>
      </c>
      <c r="I397" s="980"/>
      <c r="J397" s="980"/>
      <c r="K397" s="981"/>
      <c r="L397" s="870">
        <f ca="1">IFERROR(__xludf.DUMMYFUNCTION("IMPORTRANGE(""https://docs.google.com/spreadsheets/d/1MeEWN-I1oV_STSDYn1IFDPWt_1FKiwhDph83XaGc0o0/edit?usp=sharing"",""งบพรบ!FJ51"")"),0)</f>
        <v>0</v>
      </c>
      <c r="M397" s="870">
        <f ca="1">IFERROR(__xludf.DUMMYFUNCTION("IMPORTRANGE(""https://docs.google.com/spreadsheets/d/1MeEWN-I1oV_STSDYn1IFDPWt_1FKiwhDph83XaGc0o0/edit?usp=sharing"",""งบพรบ!FM51"")"),0)</f>
        <v>0</v>
      </c>
      <c r="N397" s="870">
        <f ca="1">IFERROR(__xludf.DUMMYFUNCTION("IMPORTRANGE(""https://docs.google.com/spreadsheets/d/1MeEWN-I1oV_STSDYn1IFDPWt_1FKiwhDph83XaGc0o0/edit?usp=sharing"",""งบพรบ!FO51"")"),0)</f>
        <v>0</v>
      </c>
      <c r="O397" s="870">
        <f t="shared" ca="1" si="167"/>
        <v>0</v>
      </c>
      <c r="P397" s="870">
        <f t="shared" ca="1" si="168"/>
        <v>0</v>
      </c>
      <c r="Q397" s="858"/>
      <c r="R397" s="858"/>
      <c r="S397" s="858"/>
      <c r="T397" s="858"/>
      <c r="U397" s="858"/>
      <c r="V397" s="858"/>
      <c r="W397" s="858"/>
      <c r="X397" s="858"/>
      <c r="Y397" s="858"/>
      <c r="Z397" s="858"/>
    </row>
    <row r="398" spans="1:26" ht="19.5" hidden="1">
      <c r="A398" s="982"/>
      <c r="B398" s="983"/>
      <c r="C398" s="979" t="s">
        <v>16</v>
      </c>
      <c r="D398" s="984" t="s">
        <v>38</v>
      </c>
      <c r="E398" s="985"/>
      <c r="F398" s="985"/>
      <c r="G398" s="986"/>
      <c r="H398" s="987"/>
      <c r="I398" s="977"/>
      <c r="J398" s="863"/>
      <c r="K398" s="864"/>
      <c r="L398" s="864"/>
      <c r="M398" s="864"/>
      <c r="N398" s="864"/>
      <c r="O398" s="978"/>
      <c r="P398" s="978"/>
    </row>
    <row r="399" spans="1:26" ht="18.75" hidden="1">
      <c r="A399" s="1237"/>
      <c r="B399" s="966"/>
      <c r="C399" s="1238"/>
      <c r="D399" s="1001" t="s">
        <v>174</v>
      </c>
      <c r="E399" s="1146"/>
      <c r="F399" s="966"/>
      <c r="G399" s="969"/>
      <c r="H399" s="527" t="s">
        <v>9</v>
      </c>
      <c r="I399" s="863">
        <v>0</v>
      </c>
      <c r="J399" s="992">
        <v>0</v>
      </c>
      <c r="K399" s="864">
        <f t="shared" ref="K399:K401" si="172">IF(I399&gt;0,J399*100/I399,0)</f>
        <v>0</v>
      </c>
      <c r="L399" s="1239"/>
      <c r="M399" s="1239"/>
      <c r="N399" s="1239"/>
      <c r="O399" s="1239"/>
      <c r="P399" s="1239"/>
      <c r="Q399" s="851"/>
      <c r="R399" s="851"/>
      <c r="S399" s="851"/>
      <c r="T399" s="851"/>
      <c r="U399" s="851"/>
      <c r="V399" s="851"/>
      <c r="W399" s="851"/>
      <c r="X399" s="851"/>
      <c r="Y399" s="851"/>
      <c r="Z399" s="851"/>
    </row>
    <row r="400" spans="1:26" ht="18.75" hidden="1">
      <c r="A400" s="1065"/>
      <c r="B400" s="860"/>
      <c r="C400" s="1063"/>
      <c r="D400" s="989" t="s">
        <v>175</v>
      </c>
      <c r="E400" s="983"/>
      <c r="F400" s="860"/>
      <c r="G400" s="862"/>
      <c r="H400" s="277" t="s">
        <v>66</v>
      </c>
      <c r="I400" s="863">
        <v>0</v>
      </c>
      <c r="J400" s="992">
        <v>0</v>
      </c>
      <c r="K400" s="864">
        <f t="shared" si="172"/>
        <v>0</v>
      </c>
      <c r="L400" s="864"/>
      <c r="M400" s="864"/>
      <c r="N400" s="864"/>
      <c r="O400" s="864"/>
      <c r="P400" s="864"/>
    </row>
    <row r="401" spans="1:26" ht="19.5" hidden="1">
      <c r="A401" s="1229"/>
      <c r="B401" s="1230" t="s">
        <v>176</v>
      </c>
      <c r="C401" s="1231"/>
      <c r="D401" s="1232"/>
      <c r="E401" s="1232"/>
      <c r="F401" s="1232"/>
      <c r="G401" s="1233"/>
      <c r="H401" s="520" t="s">
        <v>66</v>
      </c>
      <c r="I401" s="1234">
        <f t="shared" ref="I401:J401" si="173">I412</f>
        <v>0</v>
      </c>
      <c r="J401" s="1234">
        <f t="shared" si="173"/>
        <v>0</v>
      </c>
      <c r="K401" s="1235">
        <f t="shared" si="172"/>
        <v>0</v>
      </c>
      <c r="L401" s="1236"/>
      <c r="M401" s="1236"/>
      <c r="N401" s="1236"/>
      <c r="O401" s="1236"/>
      <c r="P401" s="1236"/>
    </row>
    <row r="402" spans="1:26" ht="19.5" hidden="1">
      <c r="A402" s="965"/>
      <c r="B402" s="966"/>
      <c r="C402" s="967" t="s">
        <v>16</v>
      </c>
      <c r="D402" s="968" t="s">
        <v>17</v>
      </c>
      <c r="E402" s="966"/>
      <c r="F402" s="966"/>
      <c r="G402" s="969"/>
      <c r="H402" s="152" t="s">
        <v>12</v>
      </c>
      <c r="I402" s="970"/>
      <c r="J402" s="970"/>
      <c r="K402" s="971"/>
      <c r="L402" s="972">
        <f t="shared" ref="L402:N402" ca="1" si="174">L403+L404</f>
        <v>0</v>
      </c>
      <c r="M402" s="972">
        <f t="shared" ca="1" si="174"/>
        <v>0</v>
      </c>
      <c r="N402" s="972">
        <f t="shared" ca="1" si="174"/>
        <v>0</v>
      </c>
      <c r="O402" s="972">
        <f t="shared" ref="O402:O410" ca="1" si="175">IF(L402&gt;0,N402*100/L402,0)</f>
        <v>0</v>
      </c>
      <c r="P402" s="972">
        <f t="shared" ref="P402:P410" ca="1" si="176">IF(M402&gt;0,N402*100/M402,0)</f>
        <v>0</v>
      </c>
      <c r="Q402" s="851"/>
      <c r="R402" s="851"/>
      <c r="S402" s="851"/>
      <c r="T402" s="851"/>
      <c r="U402" s="851"/>
      <c r="V402" s="851"/>
      <c r="W402" s="851"/>
      <c r="X402" s="851"/>
      <c r="Y402" s="851"/>
      <c r="Z402" s="851"/>
    </row>
    <row r="403" spans="1:26" ht="18.75" hidden="1">
      <c r="A403" s="973"/>
      <c r="B403" s="866"/>
      <c r="C403" s="866"/>
      <c r="D403" s="866"/>
      <c r="E403" s="867" t="s">
        <v>18</v>
      </c>
      <c r="F403" s="866"/>
      <c r="G403" s="974"/>
      <c r="H403" s="158" t="s">
        <v>12</v>
      </c>
      <c r="I403" s="869"/>
      <c r="J403" s="869"/>
      <c r="K403" s="870"/>
      <c r="L403" s="870">
        <f t="shared" ref="L403:N404" si="177">L406+L409</f>
        <v>0</v>
      </c>
      <c r="M403" s="870">
        <f t="shared" si="177"/>
        <v>0</v>
      </c>
      <c r="N403" s="870">
        <f t="shared" si="177"/>
        <v>0</v>
      </c>
      <c r="O403" s="870">
        <f t="shared" si="175"/>
        <v>0</v>
      </c>
      <c r="P403" s="870">
        <f t="shared" si="176"/>
        <v>0</v>
      </c>
      <c r="Q403" s="858"/>
      <c r="R403" s="858"/>
      <c r="S403" s="858"/>
      <c r="T403" s="858"/>
      <c r="U403" s="858"/>
      <c r="V403" s="858"/>
      <c r="W403" s="858"/>
      <c r="X403" s="858"/>
      <c r="Y403" s="858"/>
      <c r="Z403" s="858"/>
    </row>
    <row r="404" spans="1:26" ht="18.75" hidden="1">
      <c r="A404" s="973"/>
      <c r="B404" s="866"/>
      <c r="C404" s="866"/>
      <c r="D404" s="866"/>
      <c r="E404" s="867" t="s">
        <v>19</v>
      </c>
      <c r="F404" s="866"/>
      <c r="G404" s="974"/>
      <c r="H404" s="158" t="s">
        <v>12</v>
      </c>
      <c r="I404" s="869"/>
      <c r="J404" s="869"/>
      <c r="K404" s="870"/>
      <c r="L404" s="870">
        <f t="shared" ca="1" si="177"/>
        <v>0</v>
      </c>
      <c r="M404" s="870">
        <f t="shared" ca="1" si="177"/>
        <v>0</v>
      </c>
      <c r="N404" s="870">
        <f t="shared" ca="1" si="177"/>
        <v>0</v>
      </c>
      <c r="O404" s="870">
        <f t="shared" ca="1" si="175"/>
        <v>0</v>
      </c>
      <c r="P404" s="870">
        <f t="shared" ca="1" si="176"/>
        <v>0</v>
      </c>
      <c r="Q404" s="858"/>
      <c r="R404" s="858"/>
      <c r="S404" s="858"/>
      <c r="T404" s="858"/>
      <c r="U404" s="858"/>
      <c r="V404" s="858"/>
      <c r="W404" s="858"/>
      <c r="X404" s="858"/>
      <c r="Y404" s="858"/>
      <c r="Z404" s="858"/>
    </row>
    <row r="405" spans="1:26" ht="18.75" hidden="1">
      <c r="A405" s="975"/>
      <c r="B405" s="860"/>
      <c r="C405" s="976"/>
      <c r="D405" s="861" t="s">
        <v>20</v>
      </c>
      <c r="E405" s="860"/>
      <c r="F405" s="860"/>
      <c r="G405" s="862"/>
      <c r="H405" s="161" t="s">
        <v>12</v>
      </c>
      <c r="I405" s="977"/>
      <c r="J405" s="977"/>
      <c r="K405" s="978"/>
      <c r="L405" s="864">
        <f t="shared" ref="L405:N405" ca="1" si="178">L406+L407</f>
        <v>0</v>
      </c>
      <c r="M405" s="864">
        <f t="shared" ca="1" si="178"/>
        <v>0</v>
      </c>
      <c r="N405" s="864">
        <f t="shared" ca="1" si="178"/>
        <v>0</v>
      </c>
      <c r="O405" s="864">
        <f t="shared" ca="1" si="175"/>
        <v>0</v>
      </c>
      <c r="P405" s="864">
        <f t="shared" ca="1" si="176"/>
        <v>0</v>
      </c>
      <c r="Q405" s="851"/>
      <c r="R405" s="851"/>
      <c r="S405" s="851"/>
      <c r="T405" s="851"/>
      <c r="U405" s="851"/>
      <c r="V405" s="851"/>
      <c r="W405" s="851"/>
      <c r="X405" s="851"/>
      <c r="Y405" s="851"/>
      <c r="Z405" s="851"/>
    </row>
    <row r="406" spans="1:26" ht="19.5" hidden="1">
      <c r="A406" s="973"/>
      <c r="B406" s="866"/>
      <c r="C406" s="979"/>
      <c r="D406" s="866"/>
      <c r="E406" s="867" t="s">
        <v>36</v>
      </c>
      <c r="F406" s="866"/>
      <c r="G406" s="974"/>
      <c r="H406" s="165" t="s">
        <v>12</v>
      </c>
      <c r="I406" s="980"/>
      <c r="J406" s="980"/>
      <c r="K406" s="981"/>
      <c r="L406" s="870">
        <v>0</v>
      </c>
      <c r="M406" s="870">
        <v>0</v>
      </c>
      <c r="N406" s="870">
        <v>0</v>
      </c>
      <c r="O406" s="870">
        <f t="shared" si="175"/>
        <v>0</v>
      </c>
      <c r="P406" s="870">
        <f t="shared" si="176"/>
        <v>0</v>
      </c>
      <c r="Q406" s="858"/>
      <c r="R406" s="858"/>
      <c r="S406" s="858"/>
      <c r="T406" s="858"/>
      <c r="U406" s="858"/>
      <c r="V406" s="858"/>
      <c r="W406" s="858"/>
      <c r="X406" s="858"/>
      <c r="Y406" s="858"/>
      <c r="Z406" s="858"/>
    </row>
    <row r="407" spans="1:26" ht="19.5" hidden="1">
      <c r="A407" s="973"/>
      <c r="B407" s="866"/>
      <c r="C407" s="979"/>
      <c r="D407" s="866"/>
      <c r="E407" s="867" t="s">
        <v>37</v>
      </c>
      <c r="F407" s="866"/>
      <c r="G407" s="974"/>
      <c r="H407" s="165" t="s">
        <v>12</v>
      </c>
      <c r="I407" s="980"/>
      <c r="J407" s="980"/>
      <c r="K407" s="981"/>
      <c r="L407" s="870">
        <f ca="1">IFERROR(__xludf.DUMMYFUNCTION("IMPORTRANGE(""https://docs.google.com/spreadsheets/d/1MeEWN-I1oV_STSDYn1IFDPWt_1FKiwhDph83XaGc0o0/edit?usp=sharing"",""งบพรบ!FQ51"")"),0)</f>
        <v>0</v>
      </c>
      <c r="M407" s="870">
        <f ca="1">IFERROR(__xludf.DUMMYFUNCTION("IMPORTRANGE(""https://docs.google.com/spreadsheets/d/1MeEWN-I1oV_STSDYn1IFDPWt_1FKiwhDph83XaGc0o0/edit?usp=sharing"",""งบพรบ!FV51"")"),0)</f>
        <v>0</v>
      </c>
      <c r="N407" s="870">
        <f ca="1">IFERROR(__xludf.DUMMYFUNCTION("IMPORTRANGE(""https://docs.google.com/spreadsheets/d/1MeEWN-I1oV_STSDYn1IFDPWt_1FKiwhDph83XaGc0o0/edit?usp=sharing"",""งบพรบ!FX51"")"),0)</f>
        <v>0</v>
      </c>
      <c r="O407" s="870">
        <f t="shared" ca="1" si="175"/>
        <v>0</v>
      </c>
      <c r="P407" s="870">
        <f t="shared" ca="1" si="176"/>
        <v>0</v>
      </c>
      <c r="Q407" s="858"/>
      <c r="R407" s="858"/>
      <c r="S407" s="858"/>
      <c r="T407" s="858"/>
      <c r="U407" s="858"/>
      <c r="V407" s="858"/>
      <c r="W407" s="858"/>
      <c r="X407" s="858"/>
      <c r="Y407" s="858"/>
      <c r="Z407" s="858"/>
    </row>
    <row r="408" spans="1:26" ht="18.75" hidden="1">
      <c r="A408" s="975"/>
      <c r="B408" s="860"/>
      <c r="C408" s="976"/>
      <c r="D408" s="861" t="s">
        <v>21</v>
      </c>
      <c r="E408" s="860"/>
      <c r="F408" s="860"/>
      <c r="G408" s="862"/>
      <c r="H408" s="168" t="s">
        <v>12</v>
      </c>
      <c r="I408" s="977"/>
      <c r="J408" s="977"/>
      <c r="K408" s="978"/>
      <c r="L408" s="864">
        <f t="shared" ref="L408:N408" ca="1" si="179">L409+L410</f>
        <v>0</v>
      </c>
      <c r="M408" s="864">
        <f t="shared" ca="1" si="179"/>
        <v>0</v>
      </c>
      <c r="N408" s="864">
        <f t="shared" ca="1" si="179"/>
        <v>0</v>
      </c>
      <c r="O408" s="864">
        <f t="shared" ca="1" si="175"/>
        <v>0</v>
      </c>
      <c r="P408" s="864">
        <f t="shared" ca="1" si="176"/>
        <v>0</v>
      </c>
      <c r="Q408" s="851"/>
      <c r="R408" s="851"/>
      <c r="S408" s="851"/>
      <c r="T408" s="851"/>
      <c r="U408" s="851"/>
      <c r="V408" s="851"/>
      <c r="W408" s="851"/>
      <c r="X408" s="851"/>
      <c r="Y408" s="851"/>
      <c r="Z408" s="851"/>
    </row>
    <row r="409" spans="1:26" ht="19.5" hidden="1">
      <c r="A409" s="973"/>
      <c r="B409" s="866"/>
      <c r="C409" s="979"/>
      <c r="D409" s="866"/>
      <c r="E409" s="867" t="s">
        <v>18</v>
      </c>
      <c r="F409" s="866"/>
      <c r="G409" s="974"/>
      <c r="H409" s="165" t="s">
        <v>12</v>
      </c>
      <c r="I409" s="980"/>
      <c r="J409" s="980"/>
      <c r="K409" s="981"/>
      <c r="L409" s="870">
        <v>0</v>
      </c>
      <c r="M409" s="870">
        <v>0</v>
      </c>
      <c r="N409" s="870">
        <v>0</v>
      </c>
      <c r="O409" s="870">
        <f t="shared" si="175"/>
        <v>0</v>
      </c>
      <c r="P409" s="870">
        <f t="shared" si="176"/>
        <v>0</v>
      </c>
      <c r="Q409" s="858"/>
      <c r="R409" s="858"/>
      <c r="S409" s="858"/>
      <c r="T409" s="858"/>
      <c r="U409" s="858"/>
      <c r="V409" s="858"/>
      <c r="W409" s="858"/>
      <c r="X409" s="858"/>
      <c r="Y409" s="858"/>
      <c r="Z409" s="858"/>
    </row>
    <row r="410" spans="1:26" ht="19.5" hidden="1">
      <c r="A410" s="973"/>
      <c r="B410" s="866"/>
      <c r="C410" s="979"/>
      <c r="D410" s="866"/>
      <c r="E410" s="867" t="s">
        <v>19</v>
      </c>
      <c r="F410" s="866"/>
      <c r="G410" s="974"/>
      <c r="H410" s="169" t="s">
        <v>12</v>
      </c>
      <c r="I410" s="980"/>
      <c r="J410" s="980"/>
      <c r="K410" s="981"/>
      <c r="L410" s="870">
        <f ca="1">IFERROR(__xludf.DUMMYFUNCTION("IMPORTRANGE(""https://docs.google.com/spreadsheets/d/1MeEWN-I1oV_STSDYn1IFDPWt_1FKiwhDph83XaGc0o0/edit?usp=sharing"",""งบพรบ!FT51"")"),0)</f>
        <v>0</v>
      </c>
      <c r="M410" s="870">
        <f ca="1">IFERROR(__xludf.DUMMYFUNCTION("IMPORTRANGE(""https://docs.google.com/spreadsheets/d/1MeEWN-I1oV_STSDYn1IFDPWt_1FKiwhDph83XaGc0o0/edit?usp=sharing"",""งบพรบ!FW51"")"),0)</f>
        <v>0</v>
      </c>
      <c r="N410" s="870">
        <f ca="1">IFERROR(__xludf.DUMMYFUNCTION("IMPORTRANGE(""https://docs.google.com/spreadsheets/d/1MeEWN-I1oV_STSDYn1IFDPWt_1FKiwhDph83XaGc0o0/edit?usp=sharing"",""งบพรบ!FY51"")"),0)</f>
        <v>0</v>
      </c>
      <c r="O410" s="870">
        <f t="shared" ca="1" si="175"/>
        <v>0</v>
      </c>
      <c r="P410" s="870">
        <f t="shared" ca="1" si="176"/>
        <v>0</v>
      </c>
      <c r="Q410" s="858"/>
      <c r="R410" s="858"/>
      <c r="S410" s="858"/>
      <c r="T410" s="858"/>
      <c r="U410" s="858"/>
      <c r="V410" s="858"/>
      <c r="W410" s="858"/>
      <c r="X410" s="858"/>
      <c r="Y410" s="858"/>
      <c r="Z410" s="858"/>
    </row>
    <row r="411" spans="1:26" ht="19.5" hidden="1">
      <c r="A411" s="982"/>
      <c r="B411" s="983"/>
      <c r="C411" s="979" t="s">
        <v>16</v>
      </c>
      <c r="D411" s="1240" t="s">
        <v>38</v>
      </c>
      <c r="E411" s="1241"/>
      <c r="F411" s="1241"/>
      <c r="G411" s="1242"/>
      <c r="H411" s="987"/>
      <c r="I411" s="863"/>
      <c r="J411" s="863"/>
      <c r="K411" s="864"/>
      <c r="L411" s="978"/>
      <c r="M411" s="978"/>
      <c r="N411" s="978"/>
      <c r="O411" s="978"/>
      <c r="P411" s="978"/>
    </row>
    <row r="412" spans="1:26" ht="18.75" hidden="1">
      <c r="A412" s="982"/>
      <c r="B412" s="990"/>
      <c r="C412" s="990"/>
      <c r="D412" s="989" t="s">
        <v>177</v>
      </c>
      <c r="E412" s="990"/>
      <c r="F412" s="990"/>
      <c r="G412" s="991"/>
      <c r="H412" s="532" t="s">
        <v>66</v>
      </c>
      <c r="I412" s="863">
        <v>0</v>
      </c>
      <c r="J412" s="992">
        <v>0</v>
      </c>
      <c r="K412" s="864">
        <f t="shared" ref="K412:K413" si="180">IF(I412&gt;0,J412*100/I412,0)</f>
        <v>0</v>
      </c>
      <c r="L412" s="978"/>
      <c r="M412" s="978"/>
      <c r="N412" s="978"/>
      <c r="O412" s="978"/>
      <c r="P412" s="978"/>
    </row>
    <row r="413" spans="1:26" ht="19.5" hidden="1" thickBot="1">
      <c r="A413" s="1243"/>
      <c r="B413" s="1244"/>
      <c r="C413" s="1244"/>
      <c r="D413" s="1245" t="s">
        <v>178</v>
      </c>
      <c r="E413" s="1244"/>
      <c r="F413" s="1244"/>
      <c r="G413" s="1246"/>
      <c r="H413" s="537" t="s">
        <v>179</v>
      </c>
      <c r="I413" s="1247">
        <v>0</v>
      </c>
      <c r="J413" s="1248">
        <v>0</v>
      </c>
      <c r="K413" s="1249">
        <f t="shared" si="180"/>
        <v>0</v>
      </c>
      <c r="L413" s="1250"/>
      <c r="M413" s="1250"/>
      <c r="N413" s="1250"/>
      <c r="O413" s="1250"/>
      <c r="P413" s="1250"/>
    </row>
    <row r="414" spans="1:26" ht="19.5">
      <c r="A414" s="1251" t="s">
        <v>180</v>
      </c>
      <c r="B414" s="1252"/>
      <c r="C414" s="1252"/>
      <c r="D414" s="1252"/>
      <c r="E414" s="1252"/>
      <c r="F414" s="1252"/>
      <c r="G414" s="1253"/>
      <c r="H414" s="1254"/>
      <c r="I414" s="1255"/>
      <c r="J414" s="1255"/>
      <c r="K414" s="1256"/>
      <c r="L414" s="1257">
        <f t="shared" ref="L414:N414" ca="1" si="181">L419+L444+L467+L502+L523+L544+L629+L655+L685+L737+L754+L770+L786+L805</f>
        <v>3278842</v>
      </c>
      <c r="M414" s="1257">
        <f t="shared" si="181"/>
        <v>0</v>
      </c>
      <c r="N414" s="1257">
        <f t="shared" si="181"/>
        <v>1383255.87</v>
      </c>
      <c r="O414" s="1257">
        <f ca="1">IF(L414&gt;0,N414*100/L414,0)</f>
        <v>42.18732924611799</v>
      </c>
      <c r="P414" s="1257">
        <f>IF(M414&gt;0,N414*100/M414,0)</f>
        <v>0</v>
      </c>
    </row>
    <row r="415" spans="1:26" ht="19.5">
      <c r="A415" s="1258" t="s">
        <v>181</v>
      </c>
      <c r="B415" s="1259"/>
      <c r="C415" s="1259"/>
      <c r="D415" s="1259"/>
      <c r="E415" s="1259"/>
      <c r="F415" s="1259"/>
      <c r="G415" s="1259"/>
      <c r="H415" s="1260"/>
      <c r="I415" s="1261"/>
      <c r="J415" s="1261"/>
      <c r="K415" s="1262"/>
      <c r="L415" s="1263"/>
      <c r="M415" s="1263"/>
      <c r="N415" s="1263"/>
      <c r="O415" s="1263"/>
      <c r="P415" s="1263"/>
    </row>
    <row r="416" spans="1:26" ht="19.5">
      <c r="A416" s="1258" t="s">
        <v>182</v>
      </c>
      <c r="B416" s="1259"/>
      <c r="C416" s="1259"/>
      <c r="D416" s="1259"/>
      <c r="E416" s="1259"/>
      <c r="F416" s="1259"/>
      <c r="G416" s="1264"/>
      <c r="H416" s="1265"/>
      <c r="I416" s="1266"/>
      <c r="J416" s="1266"/>
      <c r="K416" s="1263"/>
      <c r="L416" s="1263"/>
      <c r="M416" s="1263"/>
      <c r="N416" s="1263"/>
      <c r="O416" s="1263"/>
      <c r="P416" s="1263"/>
    </row>
    <row r="417" spans="1:26" ht="39">
      <c r="A417" s="558">
        <v>1</v>
      </c>
      <c r="B417" s="1267" t="s">
        <v>183</v>
      </c>
      <c r="C417" s="1267"/>
      <c r="D417" s="1268"/>
      <c r="E417" s="1268"/>
      <c r="F417" s="1268"/>
      <c r="G417" s="1269"/>
      <c r="H417" s="563" t="s">
        <v>35</v>
      </c>
      <c r="I417" s="1270">
        <f t="shared" ref="I417:J418" ca="1" si="182">I433</f>
        <v>35</v>
      </c>
      <c r="J417" s="1270">
        <f t="shared" ca="1" si="182"/>
        <v>35</v>
      </c>
      <c r="K417" s="1271">
        <f t="shared" ref="K417:K418" ca="1" si="183">IF(I417&gt;0,J417*100/I417,0)</f>
        <v>100</v>
      </c>
      <c r="L417" s="1272"/>
      <c r="M417" s="1272"/>
      <c r="N417" s="1272"/>
      <c r="O417" s="1272"/>
      <c r="P417" s="1272"/>
    </row>
    <row r="418" spans="1:26" ht="19.5">
      <c r="A418" s="1273"/>
      <c r="B418" s="558"/>
      <c r="C418" s="1267"/>
      <c r="D418" s="1268"/>
      <c r="E418" s="1268"/>
      <c r="F418" s="1268"/>
      <c r="G418" s="1269"/>
      <c r="H418" s="563" t="s">
        <v>49</v>
      </c>
      <c r="I418" s="1270">
        <f t="shared" ca="1" si="182"/>
        <v>1</v>
      </c>
      <c r="J418" s="1270">
        <f t="shared" si="182"/>
        <v>1</v>
      </c>
      <c r="K418" s="1271">
        <f t="shared" ca="1" si="183"/>
        <v>100</v>
      </c>
      <c r="L418" s="1272"/>
      <c r="M418" s="1272"/>
      <c r="N418" s="1272"/>
      <c r="O418" s="1272"/>
      <c r="P418" s="1272"/>
    </row>
    <row r="419" spans="1:26" ht="19.5">
      <c r="A419" s="965"/>
      <c r="B419" s="966"/>
      <c r="C419" s="966" t="s">
        <v>16</v>
      </c>
      <c r="D419" s="1563" t="s">
        <v>17</v>
      </c>
      <c r="E419" s="1535"/>
      <c r="F419" s="1535"/>
      <c r="G419" s="969"/>
      <c r="H419" s="275" t="s">
        <v>12</v>
      </c>
      <c r="I419" s="970"/>
      <c r="J419" s="970"/>
      <c r="K419" s="971"/>
      <c r="L419" s="972">
        <f t="shared" ref="L419:N419" ca="1" si="184">L420+L421</f>
        <v>115060</v>
      </c>
      <c r="M419" s="972">
        <f t="shared" si="184"/>
        <v>0</v>
      </c>
      <c r="N419" s="972">
        <f t="shared" si="184"/>
        <v>101770</v>
      </c>
      <c r="O419" s="972">
        <f t="shared" ref="O419:O424" ca="1" si="185">IF(L419&gt;0,N419*100/L419,0)</f>
        <v>88.449504606292365</v>
      </c>
      <c r="P419" s="972">
        <f t="shared" ref="P419:P424" si="186">IF(M419&gt;0,N419*100/M419,0)</f>
        <v>0</v>
      </c>
      <c r="Q419" s="851"/>
      <c r="R419" s="851"/>
      <c r="S419" s="851"/>
      <c r="T419" s="851"/>
      <c r="U419" s="851"/>
      <c r="V419" s="851"/>
      <c r="W419" s="851"/>
      <c r="X419" s="851"/>
      <c r="Y419" s="851"/>
      <c r="Z419" s="851"/>
    </row>
    <row r="420" spans="1:26" ht="18.75" hidden="1">
      <c r="A420" s="973"/>
      <c r="B420" s="866"/>
      <c r="C420" s="866"/>
      <c r="D420" s="1093"/>
      <c r="E420" s="867" t="s">
        <v>184</v>
      </c>
      <c r="F420" s="866"/>
      <c r="G420" s="974"/>
      <c r="H420" s="165" t="s">
        <v>12</v>
      </c>
      <c r="I420" s="869"/>
      <c r="J420" s="869"/>
      <c r="K420" s="870"/>
      <c r="L420" s="870">
        <f t="shared" ref="L420:N421" si="187">L423+L430</f>
        <v>0</v>
      </c>
      <c r="M420" s="870">
        <f t="shared" si="187"/>
        <v>0</v>
      </c>
      <c r="N420" s="870">
        <f t="shared" si="187"/>
        <v>0</v>
      </c>
      <c r="O420" s="870">
        <f t="shared" si="185"/>
        <v>0</v>
      </c>
      <c r="P420" s="870">
        <f t="shared" si="186"/>
        <v>0</v>
      </c>
      <c r="Q420" s="858"/>
      <c r="R420" s="858"/>
      <c r="S420" s="858"/>
      <c r="T420" s="858"/>
      <c r="U420" s="858"/>
      <c r="V420" s="858"/>
      <c r="W420" s="858"/>
      <c r="X420" s="858"/>
      <c r="Y420" s="858"/>
      <c r="Z420" s="858"/>
    </row>
    <row r="421" spans="1:26" ht="18.75" hidden="1">
      <c r="A421" s="973"/>
      <c r="B421" s="866"/>
      <c r="C421" s="866"/>
      <c r="D421" s="1093"/>
      <c r="E421" s="867" t="s">
        <v>185</v>
      </c>
      <c r="F421" s="866"/>
      <c r="G421" s="974"/>
      <c r="H421" s="165" t="s">
        <v>12</v>
      </c>
      <c r="I421" s="869"/>
      <c r="J421" s="869"/>
      <c r="K421" s="870"/>
      <c r="L421" s="870">
        <f t="shared" ca="1" si="187"/>
        <v>115060</v>
      </c>
      <c r="M421" s="870">
        <f t="shared" si="187"/>
        <v>0</v>
      </c>
      <c r="N421" s="870">
        <f t="shared" si="187"/>
        <v>101770</v>
      </c>
      <c r="O421" s="870">
        <f t="shared" ca="1" si="185"/>
        <v>88.449504606292365</v>
      </c>
      <c r="P421" s="870">
        <f t="shared" si="186"/>
        <v>0</v>
      </c>
      <c r="Q421" s="858"/>
      <c r="R421" s="858"/>
      <c r="S421" s="858"/>
      <c r="T421" s="858"/>
      <c r="U421" s="858"/>
      <c r="V421" s="858"/>
      <c r="W421" s="858"/>
      <c r="X421" s="858"/>
      <c r="Y421" s="858"/>
      <c r="Z421" s="858"/>
    </row>
    <row r="422" spans="1:26" ht="18.75">
      <c r="A422" s="975"/>
      <c r="B422" s="1063"/>
      <c r="C422" s="860"/>
      <c r="D422" s="861" t="s">
        <v>20</v>
      </c>
      <c r="E422" s="860"/>
      <c r="F422" s="860"/>
      <c r="G422" s="862"/>
      <c r="H422" s="161" t="s">
        <v>12</v>
      </c>
      <c r="I422" s="977"/>
      <c r="J422" s="977"/>
      <c r="K422" s="978"/>
      <c r="L422" s="864">
        <f t="shared" ref="L422:N422" ca="1" si="188">L423+L424</f>
        <v>115060</v>
      </c>
      <c r="M422" s="864">
        <f t="shared" si="188"/>
        <v>0</v>
      </c>
      <c r="N422" s="864">
        <f t="shared" si="188"/>
        <v>101770</v>
      </c>
      <c r="O422" s="864">
        <f t="shared" ca="1" si="185"/>
        <v>88.449504606292365</v>
      </c>
      <c r="P422" s="864">
        <f t="shared" si="186"/>
        <v>0</v>
      </c>
      <c r="Q422" s="851"/>
      <c r="R422" s="851"/>
      <c r="S422" s="851"/>
      <c r="T422" s="851"/>
      <c r="U422" s="851"/>
      <c r="V422" s="851"/>
      <c r="W422" s="851"/>
      <c r="X422" s="851"/>
      <c r="Y422" s="851"/>
      <c r="Z422" s="851"/>
    </row>
    <row r="423" spans="1:26" ht="18.75" hidden="1">
      <c r="A423" s="973"/>
      <c r="B423" s="866"/>
      <c r="C423" s="866"/>
      <c r="D423" s="1093"/>
      <c r="E423" s="867" t="s">
        <v>184</v>
      </c>
      <c r="F423" s="866"/>
      <c r="G423" s="974"/>
      <c r="H423" s="165" t="s">
        <v>12</v>
      </c>
      <c r="I423" s="869"/>
      <c r="J423" s="869"/>
      <c r="K423" s="870"/>
      <c r="L423" s="870">
        <v>0</v>
      </c>
      <c r="M423" s="870">
        <v>0</v>
      </c>
      <c r="N423" s="870">
        <v>0</v>
      </c>
      <c r="O423" s="870">
        <f t="shared" si="185"/>
        <v>0</v>
      </c>
      <c r="P423" s="870">
        <f t="shared" si="186"/>
        <v>0</v>
      </c>
      <c r="Q423" s="858"/>
      <c r="R423" s="858"/>
      <c r="S423" s="858"/>
      <c r="T423" s="858"/>
      <c r="U423" s="858"/>
      <c r="V423" s="858"/>
      <c r="W423" s="858"/>
      <c r="X423" s="858"/>
      <c r="Y423" s="858"/>
      <c r="Z423" s="858"/>
    </row>
    <row r="424" spans="1:26" ht="18.75" hidden="1">
      <c r="A424" s="973"/>
      <c r="B424" s="866"/>
      <c r="C424" s="866"/>
      <c r="D424" s="1093"/>
      <c r="E424" s="867" t="s">
        <v>185</v>
      </c>
      <c r="F424" s="866"/>
      <c r="G424" s="974"/>
      <c r="H424" s="165" t="s">
        <v>12</v>
      </c>
      <c r="I424" s="869"/>
      <c r="J424" s="869"/>
      <c r="K424" s="870"/>
      <c r="L424" s="870">
        <f ca="1">IFERROR(__xludf.DUMMYFUNCTION("IMPORTRANGE(""https://docs.google.com/spreadsheets/d/1QqKyyYR6Q21VydFLVH3TRQUabQu_ym0Zz7PgGX0-kHA/edit?usp=sharing"",""แผน!EY51"")"),115060)</f>
        <v>115060</v>
      </c>
      <c r="M424" s="870">
        <v>0</v>
      </c>
      <c r="N424" s="870">
        <f>N425+N426+N427+N428</f>
        <v>101770</v>
      </c>
      <c r="O424" s="870">
        <f t="shared" ca="1" si="185"/>
        <v>88.449504606292365</v>
      </c>
      <c r="P424" s="870">
        <f t="shared" si="186"/>
        <v>0</v>
      </c>
      <c r="Q424" s="858"/>
      <c r="R424" s="858"/>
      <c r="S424" s="858"/>
      <c r="T424" s="858"/>
      <c r="U424" s="858"/>
      <c r="V424" s="858"/>
      <c r="W424" s="858"/>
      <c r="X424" s="858"/>
      <c r="Y424" s="858"/>
      <c r="Z424" s="858"/>
    </row>
    <row r="425" spans="1:26" ht="18.75">
      <c r="A425" s="1274"/>
      <c r="B425" s="1275"/>
      <c r="C425" s="1276"/>
      <c r="D425" s="1276"/>
      <c r="E425" s="1276"/>
      <c r="F425" s="1276" t="s">
        <v>186</v>
      </c>
      <c r="G425" s="996"/>
      <c r="H425" s="161" t="s">
        <v>12</v>
      </c>
      <c r="I425" s="863"/>
      <c r="J425" s="863"/>
      <c r="K425" s="864"/>
      <c r="L425" s="864"/>
      <c r="M425" s="864"/>
      <c r="N425" s="1064">
        <v>83370</v>
      </c>
      <c r="O425" s="864"/>
      <c r="P425" s="864"/>
      <c r="Q425" s="1277"/>
      <c r="R425" s="1277"/>
      <c r="S425" s="1277"/>
      <c r="T425" s="1277"/>
      <c r="U425" s="1277"/>
      <c r="V425" s="1277"/>
      <c r="W425" s="1277"/>
      <c r="X425" s="1277"/>
      <c r="Y425" s="1277"/>
      <c r="Z425" s="1277"/>
    </row>
    <row r="426" spans="1:26" ht="18.75">
      <c r="A426" s="1274"/>
      <c r="B426" s="1275"/>
      <c r="C426" s="1276"/>
      <c r="D426" s="1276"/>
      <c r="E426" s="1276"/>
      <c r="F426" s="1276" t="s">
        <v>187</v>
      </c>
      <c r="G426" s="996"/>
      <c r="H426" s="161" t="s">
        <v>12</v>
      </c>
      <c r="I426" s="863"/>
      <c r="J426" s="863"/>
      <c r="K426" s="864"/>
      <c r="L426" s="864"/>
      <c r="M426" s="864"/>
      <c r="N426" s="1064">
        <v>0</v>
      </c>
      <c r="O426" s="864"/>
      <c r="P426" s="864"/>
      <c r="Q426" s="1277"/>
      <c r="R426" s="1277"/>
      <c r="S426" s="1277"/>
      <c r="T426" s="1277"/>
      <c r="U426" s="1277"/>
      <c r="V426" s="1277"/>
      <c r="W426" s="1277"/>
      <c r="X426" s="1277"/>
      <c r="Y426" s="1277"/>
      <c r="Z426" s="1277"/>
    </row>
    <row r="427" spans="1:26" ht="18.75">
      <c r="A427" s="1274"/>
      <c r="B427" s="1275"/>
      <c r="C427" s="1276"/>
      <c r="D427" s="1276"/>
      <c r="E427" s="1276"/>
      <c r="F427" s="1276" t="s">
        <v>188</v>
      </c>
      <c r="G427" s="996"/>
      <c r="H427" s="161" t="s">
        <v>12</v>
      </c>
      <c r="I427" s="863"/>
      <c r="J427" s="863"/>
      <c r="K427" s="864"/>
      <c r="L427" s="864"/>
      <c r="M427" s="864"/>
      <c r="N427" s="1064">
        <v>0</v>
      </c>
      <c r="O427" s="864"/>
      <c r="P427" s="864"/>
      <c r="Q427" s="1277"/>
      <c r="R427" s="1277"/>
      <c r="S427" s="1277"/>
      <c r="T427" s="1277"/>
      <c r="U427" s="1277"/>
      <c r="V427" s="1277"/>
      <c r="W427" s="1277"/>
      <c r="X427" s="1277"/>
      <c r="Y427" s="1277"/>
      <c r="Z427" s="1277"/>
    </row>
    <row r="428" spans="1:26" ht="18.75">
      <c r="A428" s="1065"/>
      <c r="B428" s="1063"/>
      <c r="C428" s="860"/>
      <c r="D428" s="860"/>
      <c r="E428" s="860"/>
      <c r="F428" s="976" t="s">
        <v>189</v>
      </c>
      <c r="G428" s="1010"/>
      <c r="H428" s="161" t="s">
        <v>12</v>
      </c>
      <c r="I428" s="863"/>
      <c r="J428" s="863"/>
      <c r="K428" s="864"/>
      <c r="L428" s="864"/>
      <c r="M428" s="864"/>
      <c r="N428" s="1064">
        <f>1000+7800+9600</f>
        <v>18400</v>
      </c>
      <c r="O428" s="864"/>
      <c r="P428" s="864"/>
      <c r="Q428" s="851"/>
      <c r="R428" s="851"/>
      <c r="S428" s="851"/>
      <c r="T428" s="851"/>
      <c r="U428" s="851"/>
      <c r="V428" s="851"/>
      <c r="W428" s="851"/>
      <c r="X428" s="851"/>
      <c r="Y428" s="851"/>
      <c r="Z428" s="851"/>
    </row>
    <row r="429" spans="1:26" ht="18.75">
      <c r="A429" s="975"/>
      <c r="B429" s="1063"/>
      <c r="C429" s="860"/>
      <c r="D429" s="861" t="s">
        <v>21</v>
      </c>
      <c r="E429" s="860"/>
      <c r="F429" s="860"/>
      <c r="G429" s="862"/>
      <c r="H429" s="168" t="s">
        <v>12</v>
      </c>
      <c r="I429" s="977"/>
      <c r="J429" s="977"/>
      <c r="K429" s="978"/>
      <c r="L429" s="864">
        <f t="shared" ref="L429:N429" ca="1" si="189">L430+L431</f>
        <v>0</v>
      </c>
      <c r="M429" s="864">
        <f t="shared" si="189"/>
        <v>0</v>
      </c>
      <c r="N429" s="864">
        <f t="shared" si="189"/>
        <v>0</v>
      </c>
      <c r="O429" s="864">
        <f t="shared" ref="O429:O431" ca="1" si="190">IF(L429&gt;0,N429*100/L429,0)</f>
        <v>0</v>
      </c>
      <c r="P429" s="864">
        <f t="shared" ref="P429:P431" si="191">IF(M429&gt;0,N429*100/M429,0)</f>
        <v>0</v>
      </c>
      <c r="Q429" s="851"/>
      <c r="R429" s="851"/>
      <c r="S429" s="851"/>
      <c r="T429" s="851"/>
      <c r="U429" s="851"/>
      <c r="V429" s="851"/>
      <c r="W429" s="851"/>
      <c r="X429" s="851"/>
      <c r="Y429" s="851"/>
      <c r="Z429" s="851"/>
    </row>
    <row r="430" spans="1:26" ht="18.75" hidden="1">
      <c r="A430" s="973"/>
      <c r="B430" s="1084"/>
      <c r="C430" s="866"/>
      <c r="D430" s="866"/>
      <c r="E430" s="867" t="s">
        <v>18</v>
      </c>
      <c r="F430" s="866"/>
      <c r="G430" s="868"/>
      <c r="H430" s="165" t="s">
        <v>12</v>
      </c>
      <c r="I430" s="980"/>
      <c r="J430" s="980"/>
      <c r="K430" s="981"/>
      <c r="L430" s="870">
        <v>0</v>
      </c>
      <c r="M430" s="870">
        <v>0</v>
      </c>
      <c r="N430" s="870">
        <v>0</v>
      </c>
      <c r="O430" s="870">
        <f t="shared" si="190"/>
        <v>0</v>
      </c>
      <c r="P430" s="870">
        <f t="shared" si="191"/>
        <v>0</v>
      </c>
      <c r="Q430" s="858"/>
      <c r="R430" s="858"/>
      <c r="S430" s="858"/>
      <c r="T430" s="858"/>
      <c r="U430" s="858"/>
      <c r="V430" s="858"/>
      <c r="W430" s="858"/>
      <c r="X430" s="858"/>
      <c r="Y430" s="858"/>
      <c r="Z430" s="858"/>
    </row>
    <row r="431" spans="1:26" ht="18.75" hidden="1">
      <c r="A431" s="973"/>
      <c r="B431" s="1084"/>
      <c r="C431" s="866"/>
      <c r="D431" s="866"/>
      <c r="E431" s="867" t="s">
        <v>19</v>
      </c>
      <c r="F431" s="866"/>
      <c r="G431" s="868"/>
      <c r="H431" s="169" t="s">
        <v>12</v>
      </c>
      <c r="I431" s="980"/>
      <c r="J431" s="980"/>
      <c r="K431" s="981"/>
      <c r="L431" s="870">
        <f ca="1">IFERROR(__xludf.DUMMYFUNCTION("IMPORTRANGE(""https://docs.google.com/spreadsheets/d/1QqKyyYR6Q21VydFLVH3TRQUabQu_ym0Zz7PgGX0-kHA/edit?usp=sharing"",""แผน!FB51"")"),0)</f>
        <v>0</v>
      </c>
      <c r="M431" s="870">
        <v>0</v>
      </c>
      <c r="N431" s="870">
        <v>0</v>
      </c>
      <c r="O431" s="870">
        <f t="shared" ca="1" si="190"/>
        <v>0</v>
      </c>
      <c r="P431" s="870">
        <f t="shared" si="191"/>
        <v>0</v>
      </c>
      <c r="Q431" s="858"/>
      <c r="R431" s="858"/>
      <c r="S431" s="858"/>
      <c r="T431" s="858"/>
      <c r="U431" s="858"/>
      <c r="V431" s="858"/>
      <c r="W431" s="858"/>
      <c r="X431" s="858"/>
      <c r="Y431" s="858"/>
      <c r="Z431" s="858"/>
    </row>
    <row r="432" spans="1:26" ht="19.5">
      <c r="A432" s="1145"/>
      <c r="B432" s="1146"/>
      <c r="C432" s="966" t="s">
        <v>16</v>
      </c>
      <c r="D432" s="1278" t="s">
        <v>38</v>
      </c>
      <c r="E432" s="1279"/>
      <c r="F432" s="1279"/>
      <c r="G432" s="1280"/>
      <c r="H432" s="1281"/>
      <c r="I432" s="970"/>
      <c r="J432" s="970"/>
      <c r="K432" s="971"/>
      <c r="L432" s="971"/>
      <c r="M432" s="971"/>
      <c r="N432" s="971"/>
      <c r="O432" s="971"/>
      <c r="P432" s="971"/>
      <c r="Q432" s="851"/>
      <c r="R432" s="851"/>
      <c r="S432" s="851"/>
      <c r="T432" s="851"/>
      <c r="U432" s="851"/>
      <c r="V432" s="851"/>
      <c r="W432" s="851"/>
      <c r="X432" s="851"/>
      <c r="Y432" s="851"/>
      <c r="Z432" s="851"/>
    </row>
    <row r="433" spans="1:26" ht="19.5">
      <c r="A433" s="982"/>
      <c r="B433" s="983"/>
      <c r="C433" s="983"/>
      <c r="D433" s="993" t="s">
        <v>190</v>
      </c>
      <c r="E433" s="990"/>
      <c r="F433" s="990"/>
      <c r="G433" s="991"/>
      <c r="H433" s="196" t="s">
        <v>35</v>
      </c>
      <c r="I433" s="999">
        <f ca="1">I435</f>
        <v>35</v>
      </c>
      <c r="J433" s="999">
        <f ca="1">IF(AND(J435=I435,J437=I437,J439=I439),I437+I439,IF(AND(J435=I437,J437=I437),I437,IF(AND(J435=I439,J439=I439),I439,0)))</f>
        <v>35</v>
      </c>
      <c r="K433" s="1000">
        <f t="shared" ref="K433:K435" ca="1" si="192">IF(I433&gt;0,J433*100/I433,0)</f>
        <v>100</v>
      </c>
      <c r="L433" s="864"/>
      <c r="M433" s="864"/>
      <c r="N433" s="864"/>
      <c r="O433" s="864"/>
      <c r="P433" s="864"/>
      <c r="Q433" s="851"/>
      <c r="R433" s="851"/>
      <c r="S433" s="851"/>
      <c r="T433" s="851"/>
      <c r="U433" s="851"/>
      <c r="V433" s="851"/>
      <c r="W433" s="851"/>
      <c r="X433" s="851"/>
      <c r="Y433" s="851"/>
      <c r="Z433" s="851"/>
    </row>
    <row r="434" spans="1:26" ht="19.5">
      <c r="A434" s="982"/>
      <c r="B434" s="983"/>
      <c r="C434" s="983"/>
      <c r="D434" s="993" t="s">
        <v>191</v>
      </c>
      <c r="E434" s="990"/>
      <c r="F434" s="990"/>
      <c r="G434" s="991"/>
      <c r="H434" s="196" t="s">
        <v>49</v>
      </c>
      <c r="I434" s="999">
        <f t="shared" ref="I434:J434" ca="1" si="193">I438+I440</f>
        <v>1</v>
      </c>
      <c r="J434" s="999">
        <f t="shared" si="193"/>
        <v>1</v>
      </c>
      <c r="K434" s="1000">
        <f t="shared" ca="1" si="192"/>
        <v>100</v>
      </c>
      <c r="L434" s="864"/>
      <c r="M434" s="864"/>
      <c r="N434" s="864"/>
      <c r="O434" s="864"/>
      <c r="P434" s="864"/>
      <c r="Q434" s="851"/>
      <c r="R434" s="851"/>
      <c r="S434" s="851"/>
      <c r="T434" s="851"/>
      <c r="U434" s="851"/>
      <c r="V434" s="851"/>
      <c r="W434" s="851"/>
      <c r="X434" s="851"/>
      <c r="Y434" s="851"/>
      <c r="Z434" s="851"/>
    </row>
    <row r="435" spans="1:26" ht="18.75">
      <c r="A435" s="982"/>
      <c r="B435" s="983"/>
      <c r="C435" s="983"/>
      <c r="D435" s="989" t="s">
        <v>192</v>
      </c>
      <c r="E435" s="990"/>
      <c r="F435" s="990"/>
      <c r="G435" s="991"/>
      <c r="H435" s="617" t="s">
        <v>35</v>
      </c>
      <c r="I435" s="577">
        <f ca="1">IFERROR(__xludf.DUMMYFUNCTION("IMPORTRANGE(""https://docs.google.com/spreadsheets/d/1QqKyyYR6Q21VydFLVH3TRQUabQu_ym0Zz7PgGX0-kHA/edit?usp=sharing"",""แผน!FC51"")"),35)</f>
        <v>35</v>
      </c>
      <c r="J435" s="578">
        <v>35</v>
      </c>
      <c r="K435" s="864">
        <f t="shared" ca="1" si="192"/>
        <v>100</v>
      </c>
      <c r="L435" s="864"/>
      <c r="M435" s="864"/>
      <c r="N435" s="864"/>
      <c r="O435" s="864"/>
      <c r="P435" s="864"/>
      <c r="Q435" s="851"/>
      <c r="R435" s="851"/>
      <c r="S435" s="851"/>
      <c r="T435" s="851"/>
      <c r="U435" s="851"/>
      <c r="V435" s="851"/>
      <c r="W435" s="851"/>
      <c r="X435" s="851"/>
      <c r="Y435" s="851"/>
      <c r="Z435" s="851"/>
    </row>
    <row r="436" spans="1:26" ht="18.75">
      <c r="A436" s="982"/>
      <c r="B436" s="983"/>
      <c r="C436" s="983"/>
      <c r="D436" s="989" t="s">
        <v>193</v>
      </c>
      <c r="E436" s="990"/>
      <c r="F436" s="990"/>
      <c r="G436" s="991"/>
      <c r="H436" s="617"/>
      <c r="I436" s="863"/>
      <c r="J436" s="863"/>
      <c r="K436" s="864"/>
      <c r="L436" s="864"/>
      <c r="M436" s="864"/>
      <c r="N436" s="864"/>
      <c r="O436" s="864"/>
      <c r="P436" s="864"/>
      <c r="Q436" s="851"/>
      <c r="R436" s="851"/>
      <c r="S436" s="851"/>
      <c r="T436" s="851"/>
      <c r="U436" s="851"/>
      <c r="V436" s="851"/>
      <c r="W436" s="851"/>
      <c r="X436" s="851"/>
      <c r="Y436" s="851"/>
      <c r="Z436" s="851"/>
    </row>
    <row r="437" spans="1:26" ht="18.75">
      <c r="A437" s="982"/>
      <c r="B437" s="983"/>
      <c r="C437" s="983"/>
      <c r="D437" s="989" t="s">
        <v>194</v>
      </c>
      <c r="E437" s="990"/>
      <c r="F437" s="990"/>
      <c r="G437" s="991"/>
      <c r="H437" s="617" t="s">
        <v>35</v>
      </c>
      <c r="I437" s="577">
        <f ca="1">IFERROR(__xludf.DUMMYFUNCTION("IMPORTRANGE(""https://docs.google.com/spreadsheets/d/1QqKyyYR6Q21VydFLVH3TRQUabQu_ym0Zz7PgGX0-kHA/edit?usp=sharing"",""แผน!FD51"")"),0)</f>
        <v>0</v>
      </c>
      <c r="J437" s="578">
        <v>0</v>
      </c>
      <c r="K437" s="864">
        <f t="shared" ref="K437:K443" ca="1" si="194">IF(I437&gt;0,J437*100/I437,0)</f>
        <v>0</v>
      </c>
      <c r="L437" s="864"/>
      <c r="M437" s="864"/>
      <c r="N437" s="864"/>
      <c r="O437" s="864"/>
      <c r="P437" s="864"/>
      <c r="Q437" s="851"/>
      <c r="R437" s="851"/>
      <c r="S437" s="851"/>
      <c r="T437" s="851"/>
      <c r="U437" s="851"/>
      <c r="V437" s="851"/>
      <c r="W437" s="851"/>
      <c r="X437" s="851"/>
      <c r="Y437" s="851"/>
      <c r="Z437" s="851"/>
    </row>
    <row r="438" spans="1:26" ht="18.75">
      <c r="A438" s="982"/>
      <c r="B438" s="983"/>
      <c r="C438" s="983"/>
      <c r="D438" s="989" t="s">
        <v>195</v>
      </c>
      <c r="E438" s="990"/>
      <c r="F438" s="990"/>
      <c r="G438" s="991"/>
      <c r="H438" s="617" t="s">
        <v>49</v>
      </c>
      <c r="I438" s="863">
        <f ca="1">IFERROR(__xludf.DUMMYFUNCTION("IMPORTRANGE(""https://docs.google.com/spreadsheets/d/1QqKyyYR6Q21VydFLVH3TRQUabQu_ym0Zz7PgGX0-kHA/edit?usp=sharing"",""แผน!FE51"")"),0)</f>
        <v>0</v>
      </c>
      <c r="J438" s="992">
        <v>0</v>
      </c>
      <c r="K438" s="864">
        <f t="shared" ca="1" si="194"/>
        <v>0</v>
      </c>
      <c r="L438" s="864"/>
      <c r="M438" s="864"/>
      <c r="N438" s="864"/>
      <c r="O438" s="864"/>
      <c r="P438" s="864"/>
      <c r="Q438" s="851"/>
      <c r="R438" s="851"/>
      <c r="S438" s="851"/>
      <c r="T438" s="851"/>
      <c r="U438" s="851"/>
      <c r="V438" s="851"/>
      <c r="W438" s="851"/>
      <c r="X438" s="851"/>
      <c r="Y438" s="851"/>
      <c r="Z438" s="851"/>
    </row>
    <row r="439" spans="1:26" ht="18.75">
      <c r="A439" s="982"/>
      <c r="B439" s="983"/>
      <c r="C439" s="983"/>
      <c r="D439" s="989" t="s">
        <v>196</v>
      </c>
      <c r="E439" s="990"/>
      <c r="F439" s="990"/>
      <c r="G439" s="991"/>
      <c r="H439" s="617" t="s">
        <v>35</v>
      </c>
      <c r="I439" s="577">
        <f ca="1">IFERROR(__xludf.DUMMYFUNCTION("IMPORTRANGE(""https://docs.google.com/spreadsheets/d/1QqKyyYR6Q21VydFLVH3TRQUabQu_ym0Zz7PgGX0-kHA/edit?usp=sharing"",""แผน!FF51"")"),35)</f>
        <v>35</v>
      </c>
      <c r="J439" s="578">
        <v>35</v>
      </c>
      <c r="K439" s="864">
        <f t="shared" ca="1" si="194"/>
        <v>100</v>
      </c>
      <c r="L439" s="864"/>
      <c r="M439" s="864"/>
      <c r="N439" s="864"/>
      <c r="O439" s="864"/>
      <c r="P439" s="864"/>
      <c r="Q439" s="851"/>
      <c r="R439" s="851"/>
      <c r="S439" s="851"/>
      <c r="T439" s="851"/>
      <c r="U439" s="851"/>
      <c r="V439" s="851"/>
      <c r="W439" s="851"/>
      <c r="X439" s="851"/>
      <c r="Y439" s="851"/>
      <c r="Z439" s="851"/>
    </row>
    <row r="440" spans="1:26" ht="18.75">
      <c r="A440" s="982"/>
      <c r="B440" s="983"/>
      <c r="C440" s="983"/>
      <c r="D440" s="989" t="s">
        <v>197</v>
      </c>
      <c r="E440" s="990"/>
      <c r="F440" s="990"/>
      <c r="G440" s="991"/>
      <c r="H440" s="617" t="s">
        <v>49</v>
      </c>
      <c r="I440" s="863">
        <f ca="1">IFERROR(__xludf.DUMMYFUNCTION("IMPORTRANGE(""https://docs.google.com/spreadsheets/d/1QqKyyYR6Q21VydFLVH3TRQUabQu_ym0Zz7PgGX0-kHA/edit?usp=sharing"",""แผน!FG51"")"),1)</f>
        <v>1</v>
      </c>
      <c r="J440" s="992">
        <v>1</v>
      </c>
      <c r="K440" s="864">
        <f t="shared" ca="1" si="194"/>
        <v>100</v>
      </c>
      <c r="L440" s="864"/>
      <c r="M440" s="864"/>
      <c r="N440" s="864"/>
      <c r="O440" s="864"/>
      <c r="P440" s="864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</row>
    <row r="441" spans="1:26" ht="18.75">
      <c r="A441" s="982"/>
      <c r="B441" s="983"/>
      <c r="C441" s="983"/>
      <c r="D441" s="989" t="s">
        <v>198</v>
      </c>
      <c r="E441" s="990"/>
      <c r="F441" s="990"/>
      <c r="G441" s="991"/>
      <c r="H441" s="617" t="s">
        <v>35</v>
      </c>
      <c r="I441" s="863">
        <f ca="1">IFERROR(__xludf.DUMMYFUNCTION("IMPORTRANGE(""https://docs.google.com/spreadsheets/d/1QqKyyYR6Q21VydFLVH3TRQUabQu_ym0Zz7PgGX0-kHA/edit?usp=sharing"",""แผน!FH51"")"),0)</f>
        <v>0</v>
      </c>
      <c r="J441" s="863">
        <v>0</v>
      </c>
      <c r="K441" s="864">
        <f t="shared" ca="1" si="194"/>
        <v>0</v>
      </c>
      <c r="L441" s="864"/>
      <c r="M441" s="864"/>
      <c r="N441" s="864"/>
      <c r="O441" s="864"/>
      <c r="P441" s="864"/>
      <c r="Q441" s="851"/>
      <c r="R441" s="851"/>
      <c r="S441" s="851"/>
      <c r="T441" s="851"/>
      <c r="U441" s="851"/>
      <c r="V441" s="851"/>
      <c r="W441" s="851"/>
      <c r="X441" s="851"/>
      <c r="Y441" s="851"/>
      <c r="Z441" s="851"/>
    </row>
    <row r="442" spans="1:26" ht="19.5">
      <c r="A442" s="579">
        <v>2</v>
      </c>
      <c r="B442" s="1282" t="s">
        <v>199</v>
      </c>
      <c r="C442" s="1283"/>
      <c r="D442" s="1283"/>
      <c r="E442" s="1283"/>
      <c r="F442" s="1283"/>
      <c r="G442" s="1284"/>
      <c r="H442" s="583" t="s">
        <v>35</v>
      </c>
      <c r="I442" s="1285">
        <f t="shared" ref="I442:J442" ca="1" si="195">I460</f>
        <v>90</v>
      </c>
      <c r="J442" s="1285">
        <f t="shared" si="195"/>
        <v>90</v>
      </c>
      <c r="K442" s="1286">
        <f t="shared" ca="1" si="194"/>
        <v>100</v>
      </c>
      <c r="L442" s="1287"/>
      <c r="M442" s="1287"/>
      <c r="N442" s="1287"/>
      <c r="O442" s="1287"/>
      <c r="P442" s="1287"/>
      <c r="Q442" s="1277"/>
      <c r="R442" s="1277"/>
      <c r="S442" s="1277"/>
      <c r="T442" s="1277"/>
      <c r="U442" s="1277"/>
      <c r="V442" s="1277"/>
      <c r="W442" s="1277"/>
      <c r="X442" s="1277"/>
      <c r="Y442" s="1277"/>
      <c r="Z442" s="1277"/>
    </row>
    <row r="443" spans="1:26" ht="19.5">
      <c r="A443" s="1288"/>
      <c r="B443" s="1289"/>
      <c r="C443" s="1290"/>
      <c r="D443" s="1290"/>
      <c r="E443" s="1290"/>
      <c r="F443" s="1290"/>
      <c r="G443" s="1291"/>
      <c r="H443" s="563" t="s">
        <v>46</v>
      </c>
      <c r="I443" s="1270">
        <f t="shared" ref="I443:J443" ca="1" si="196">I462</f>
        <v>300</v>
      </c>
      <c r="J443" s="1270">
        <f t="shared" si="196"/>
        <v>300</v>
      </c>
      <c r="K443" s="1271">
        <f t="shared" ca="1" si="194"/>
        <v>100</v>
      </c>
      <c r="L443" s="1272"/>
      <c r="M443" s="1272"/>
      <c r="N443" s="1272"/>
      <c r="O443" s="1272"/>
      <c r="P443" s="1272"/>
      <c r="Q443" s="1277"/>
      <c r="R443" s="1277"/>
      <c r="S443" s="1277"/>
      <c r="T443" s="1277"/>
      <c r="U443" s="1277"/>
      <c r="V443" s="1277"/>
      <c r="W443" s="1277"/>
      <c r="X443" s="1277"/>
      <c r="Y443" s="1277"/>
      <c r="Z443" s="1277"/>
    </row>
    <row r="444" spans="1:26" ht="19.5">
      <c r="A444" s="1292"/>
      <c r="B444" s="1276"/>
      <c r="C444" s="1276" t="s">
        <v>16</v>
      </c>
      <c r="D444" s="1555" t="s">
        <v>17</v>
      </c>
      <c r="E444" s="1533"/>
      <c r="F444" s="1533"/>
      <c r="G444" s="996"/>
      <c r="H444" s="592" t="s">
        <v>12</v>
      </c>
      <c r="I444" s="863"/>
      <c r="J444" s="863"/>
      <c r="K444" s="864"/>
      <c r="L444" s="1000">
        <f t="shared" ref="L444:N444" ca="1" si="197">L445+L446</f>
        <v>604000</v>
      </c>
      <c r="M444" s="1000">
        <f t="shared" si="197"/>
        <v>0</v>
      </c>
      <c r="N444" s="1000">
        <f t="shared" si="197"/>
        <v>505683</v>
      </c>
      <c r="O444" s="1000">
        <f t="shared" ref="O444:O449" ca="1" si="198">IF(L444&gt;0,N444*100/L444,0)</f>
        <v>83.722350993377489</v>
      </c>
      <c r="P444" s="1000">
        <f t="shared" ref="P444:P449" si="199">IF(M444&gt;0,N444*100/M444,0)</f>
        <v>0</v>
      </c>
      <c r="Q444" s="1277"/>
      <c r="R444" s="1277"/>
      <c r="S444" s="1277"/>
      <c r="T444" s="1277"/>
      <c r="U444" s="1277"/>
      <c r="V444" s="1277"/>
      <c r="W444" s="1277"/>
      <c r="X444" s="1277"/>
      <c r="Y444" s="1277"/>
      <c r="Z444" s="1277"/>
    </row>
    <row r="445" spans="1:26" ht="18.75" hidden="1">
      <c r="A445" s="1293"/>
      <c r="B445" s="1294"/>
      <c r="C445" s="1294"/>
      <c r="D445" s="1295"/>
      <c r="E445" s="1294" t="s">
        <v>184</v>
      </c>
      <c r="F445" s="1294"/>
      <c r="G445" s="1296"/>
      <c r="H445" s="165" t="s">
        <v>12</v>
      </c>
      <c r="I445" s="869"/>
      <c r="J445" s="869"/>
      <c r="K445" s="870"/>
      <c r="L445" s="870">
        <f t="shared" ref="L445:N446" si="200">L448+L455</f>
        <v>0</v>
      </c>
      <c r="M445" s="870">
        <f t="shared" si="200"/>
        <v>0</v>
      </c>
      <c r="N445" s="870">
        <f t="shared" si="200"/>
        <v>0</v>
      </c>
      <c r="O445" s="870">
        <f t="shared" si="198"/>
        <v>0</v>
      </c>
      <c r="P445" s="870">
        <f t="shared" si="199"/>
        <v>0</v>
      </c>
      <c r="Q445" s="1297"/>
      <c r="R445" s="1297"/>
      <c r="S445" s="1297"/>
      <c r="T445" s="1297"/>
      <c r="U445" s="1297"/>
      <c r="V445" s="1297"/>
      <c r="W445" s="1297"/>
      <c r="X445" s="1297"/>
      <c r="Y445" s="1297"/>
      <c r="Z445" s="1297"/>
    </row>
    <row r="446" spans="1:26" ht="18.75" hidden="1">
      <c r="A446" s="1293"/>
      <c r="B446" s="1298"/>
      <c r="C446" s="1294"/>
      <c r="D446" s="1295"/>
      <c r="E446" s="1294" t="s">
        <v>185</v>
      </c>
      <c r="F446" s="1294"/>
      <c r="G446" s="1296"/>
      <c r="H446" s="165" t="s">
        <v>12</v>
      </c>
      <c r="I446" s="869"/>
      <c r="J446" s="869"/>
      <c r="K446" s="870"/>
      <c r="L446" s="870">
        <f t="shared" ca="1" si="200"/>
        <v>604000</v>
      </c>
      <c r="M446" s="870">
        <f t="shared" si="200"/>
        <v>0</v>
      </c>
      <c r="N446" s="870">
        <f t="shared" si="200"/>
        <v>505683</v>
      </c>
      <c r="O446" s="870">
        <f t="shared" ca="1" si="198"/>
        <v>83.722350993377489</v>
      </c>
      <c r="P446" s="870">
        <f t="shared" si="199"/>
        <v>0</v>
      </c>
      <c r="Q446" s="1297"/>
      <c r="R446" s="1297"/>
      <c r="S446" s="1297"/>
      <c r="T446" s="1297"/>
      <c r="U446" s="1297"/>
      <c r="V446" s="1297"/>
      <c r="W446" s="1297"/>
      <c r="X446" s="1297"/>
      <c r="Y446" s="1297"/>
      <c r="Z446" s="1297"/>
    </row>
    <row r="447" spans="1:26" ht="18.75">
      <c r="A447" s="1292"/>
      <c r="B447" s="1275"/>
      <c r="C447" s="1276"/>
      <c r="D447" s="1299" t="s">
        <v>20</v>
      </c>
      <c r="E447" s="1276"/>
      <c r="F447" s="1276"/>
      <c r="G447" s="996"/>
      <c r="H447" s="161" t="s">
        <v>12</v>
      </c>
      <c r="I447" s="977"/>
      <c r="J447" s="977"/>
      <c r="K447" s="978"/>
      <c r="L447" s="864">
        <f t="shared" ref="L447:N447" ca="1" si="201">L448+L449</f>
        <v>604000</v>
      </c>
      <c r="M447" s="864">
        <f t="shared" si="201"/>
        <v>0</v>
      </c>
      <c r="N447" s="864">
        <f t="shared" si="201"/>
        <v>505683</v>
      </c>
      <c r="O447" s="864">
        <f t="shared" ca="1" si="198"/>
        <v>83.722350993377489</v>
      </c>
      <c r="P447" s="864">
        <f t="shared" si="199"/>
        <v>0</v>
      </c>
      <c r="Q447" s="1277"/>
      <c r="R447" s="1277"/>
      <c r="S447" s="1277"/>
      <c r="T447" s="1277"/>
      <c r="U447" s="1277"/>
      <c r="V447" s="1277"/>
      <c r="W447" s="1277"/>
      <c r="X447" s="1277"/>
      <c r="Y447" s="1277"/>
      <c r="Z447" s="1277"/>
    </row>
    <row r="448" spans="1:26" ht="18.75" hidden="1">
      <c r="A448" s="1293"/>
      <c r="B448" s="1298"/>
      <c r="C448" s="1294"/>
      <c r="D448" s="1295"/>
      <c r="E448" s="1294" t="s">
        <v>184</v>
      </c>
      <c r="F448" s="1294"/>
      <c r="G448" s="1296"/>
      <c r="H448" s="165" t="s">
        <v>12</v>
      </c>
      <c r="I448" s="869"/>
      <c r="J448" s="869"/>
      <c r="K448" s="870"/>
      <c r="L448" s="870">
        <v>0</v>
      </c>
      <c r="M448" s="870">
        <v>0</v>
      </c>
      <c r="N448" s="870">
        <v>0</v>
      </c>
      <c r="O448" s="870">
        <f t="shared" si="198"/>
        <v>0</v>
      </c>
      <c r="P448" s="870">
        <f t="shared" si="199"/>
        <v>0</v>
      </c>
      <c r="Q448" s="1297"/>
      <c r="R448" s="1297"/>
      <c r="S448" s="1297"/>
      <c r="T448" s="1297"/>
      <c r="U448" s="1297"/>
      <c r="V448" s="1297"/>
      <c r="W448" s="1297"/>
      <c r="X448" s="1297"/>
      <c r="Y448" s="1297"/>
      <c r="Z448" s="1297"/>
    </row>
    <row r="449" spans="1:26" ht="18.75" hidden="1">
      <c r="A449" s="1293"/>
      <c r="B449" s="1298"/>
      <c r="C449" s="1294"/>
      <c r="D449" s="1295"/>
      <c r="E449" s="1294" t="s">
        <v>185</v>
      </c>
      <c r="F449" s="1294"/>
      <c r="G449" s="1296"/>
      <c r="H449" s="165" t="s">
        <v>12</v>
      </c>
      <c r="I449" s="869"/>
      <c r="J449" s="869"/>
      <c r="K449" s="870"/>
      <c r="L449" s="870">
        <f ca="1">IFERROR(__xludf.DUMMYFUNCTION("IMPORTRANGE(""https://docs.google.com/spreadsheets/d/1QqKyyYR6Q21VydFLVH3TRQUabQu_ym0Zz7PgGX0-kHA/edit?usp=sharing"",""แผน!FJ51"")"),604000)</f>
        <v>604000</v>
      </c>
      <c r="M449" s="870">
        <v>0</v>
      </c>
      <c r="N449" s="870">
        <f>N450+N451+N452+N453</f>
        <v>505683</v>
      </c>
      <c r="O449" s="870">
        <f t="shared" ca="1" si="198"/>
        <v>83.722350993377489</v>
      </c>
      <c r="P449" s="870">
        <f t="shared" si="199"/>
        <v>0</v>
      </c>
      <c r="Q449" s="1297"/>
      <c r="R449" s="1297"/>
      <c r="S449" s="1297"/>
      <c r="T449" s="1297"/>
      <c r="U449" s="1297"/>
      <c r="V449" s="1297"/>
      <c r="W449" s="1297"/>
      <c r="X449" s="1297"/>
      <c r="Y449" s="1297"/>
      <c r="Z449" s="1297"/>
    </row>
    <row r="450" spans="1:26" ht="18.75">
      <c r="A450" s="1274"/>
      <c r="B450" s="1275"/>
      <c r="C450" s="1276"/>
      <c r="D450" s="1276"/>
      <c r="E450" s="1276"/>
      <c r="F450" s="1276" t="s">
        <v>186</v>
      </c>
      <c r="G450" s="996"/>
      <c r="H450" s="161" t="s">
        <v>12</v>
      </c>
      <c r="I450" s="863"/>
      <c r="J450" s="863"/>
      <c r="K450" s="864"/>
      <c r="L450" s="864"/>
      <c r="M450" s="864"/>
      <c r="N450" s="1064">
        <v>115180</v>
      </c>
      <c r="O450" s="864"/>
      <c r="P450" s="864"/>
      <c r="Q450" s="1277"/>
      <c r="R450" s="1277"/>
      <c r="S450" s="1277"/>
      <c r="T450" s="1277"/>
      <c r="U450" s="1277"/>
      <c r="V450" s="1277"/>
      <c r="W450" s="1277"/>
      <c r="X450" s="1277"/>
      <c r="Y450" s="1277"/>
      <c r="Z450" s="1277"/>
    </row>
    <row r="451" spans="1:26" ht="18.75">
      <c r="A451" s="1274"/>
      <c r="B451" s="1275"/>
      <c r="C451" s="1276"/>
      <c r="D451" s="1276"/>
      <c r="E451" s="1276"/>
      <c r="F451" s="1276" t="s">
        <v>187</v>
      </c>
      <c r="G451" s="996"/>
      <c r="H451" s="161" t="s">
        <v>12</v>
      </c>
      <c r="I451" s="863"/>
      <c r="J451" s="863"/>
      <c r="K451" s="864"/>
      <c r="L451" s="864"/>
      <c r="M451" s="864"/>
      <c r="N451" s="1064">
        <v>285000</v>
      </c>
      <c r="O451" s="864"/>
      <c r="P451" s="864"/>
      <c r="Q451" s="1277"/>
      <c r="R451" s="1277"/>
      <c r="S451" s="1277"/>
      <c r="T451" s="1277"/>
      <c r="U451" s="1277"/>
      <c r="V451" s="1277"/>
      <c r="W451" s="1277"/>
      <c r="X451" s="1277"/>
      <c r="Y451" s="1277"/>
      <c r="Z451" s="1277"/>
    </row>
    <row r="452" spans="1:26" ht="18.75">
      <c r="A452" s="1274"/>
      <c r="B452" s="1275"/>
      <c r="C452" s="1275"/>
      <c r="D452" s="1275"/>
      <c r="E452" s="1275"/>
      <c r="F452" s="1276" t="s">
        <v>188</v>
      </c>
      <c r="G452" s="996"/>
      <c r="H452" s="161" t="s">
        <v>12</v>
      </c>
      <c r="I452" s="863"/>
      <c r="J452" s="863"/>
      <c r="K452" s="864"/>
      <c r="L452" s="864"/>
      <c r="M452" s="864"/>
      <c r="N452" s="1064">
        <v>63701</v>
      </c>
      <c r="O452" s="864"/>
      <c r="P452" s="864"/>
      <c r="Q452" s="1277"/>
      <c r="R452" s="1277"/>
      <c r="S452" s="1277"/>
      <c r="T452" s="1277"/>
      <c r="U452" s="1277"/>
      <c r="V452" s="1277"/>
      <c r="W452" s="1277"/>
      <c r="X452" s="1277"/>
      <c r="Y452" s="1277"/>
      <c r="Z452" s="1277"/>
    </row>
    <row r="453" spans="1:26" ht="18.75">
      <c r="A453" s="1274"/>
      <c r="B453" s="1275"/>
      <c r="C453" s="1275"/>
      <c r="D453" s="1275"/>
      <c r="E453" s="1275"/>
      <c r="F453" s="1276" t="s">
        <v>189</v>
      </c>
      <c r="G453" s="996"/>
      <c r="H453" s="161" t="s">
        <v>12</v>
      </c>
      <c r="I453" s="863"/>
      <c r="J453" s="863"/>
      <c r="K453" s="864"/>
      <c r="L453" s="864"/>
      <c r="M453" s="864"/>
      <c r="N453" s="1064">
        <f>4350+7220+5392+12080+2200+10560</f>
        <v>41802</v>
      </c>
      <c r="O453" s="864"/>
      <c r="P453" s="864"/>
      <c r="Q453" s="1277"/>
      <c r="R453" s="1277"/>
      <c r="S453" s="1277"/>
      <c r="T453" s="1277"/>
      <c r="U453" s="1277"/>
      <c r="V453" s="1277"/>
      <c r="W453" s="1277"/>
      <c r="X453" s="1277"/>
      <c r="Y453" s="1277"/>
      <c r="Z453" s="1277"/>
    </row>
    <row r="454" spans="1:26" ht="18.75">
      <c r="A454" s="1292"/>
      <c r="B454" s="1275"/>
      <c r="C454" s="1275"/>
      <c r="D454" s="1299" t="s">
        <v>21</v>
      </c>
      <c r="E454" s="1275"/>
      <c r="F454" s="1276"/>
      <c r="G454" s="996"/>
      <c r="H454" s="168" t="s">
        <v>12</v>
      </c>
      <c r="I454" s="977"/>
      <c r="J454" s="977"/>
      <c r="K454" s="978"/>
      <c r="L454" s="864">
        <f t="shared" ref="L454:N454" ca="1" si="202">L455+L456</f>
        <v>0</v>
      </c>
      <c r="M454" s="864">
        <f t="shared" si="202"/>
        <v>0</v>
      </c>
      <c r="N454" s="864">
        <f t="shared" si="202"/>
        <v>0</v>
      </c>
      <c r="O454" s="864">
        <f t="shared" ref="O454:O456" ca="1" si="203">IF(L454&gt;0,N454*100/L454,0)</f>
        <v>0</v>
      </c>
      <c r="P454" s="864">
        <f t="shared" ref="P454:P456" si="204">IF(M454&gt;0,N454*100/M454,0)</f>
        <v>0</v>
      </c>
      <c r="Q454" s="1277"/>
      <c r="R454" s="1277"/>
      <c r="S454" s="1277"/>
      <c r="T454" s="1277"/>
      <c r="U454" s="1277"/>
      <c r="V454" s="1277"/>
      <c r="W454" s="1277"/>
      <c r="X454" s="1277"/>
      <c r="Y454" s="1277"/>
      <c r="Z454" s="1277"/>
    </row>
    <row r="455" spans="1:26" ht="18.75" hidden="1">
      <c r="A455" s="1293"/>
      <c r="B455" s="1298"/>
      <c r="C455" s="1298"/>
      <c r="D455" s="1298"/>
      <c r="E455" s="1298" t="s">
        <v>18</v>
      </c>
      <c r="F455" s="1294"/>
      <c r="G455" s="1296"/>
      <c r="H455" s="165" t="s">
        <v>12</v>
      </c>
      <c r="I455" s="980"/>
      <c r="J455" s="980"/>
      <c r="K455" s="981"/>
      <c r="L455" s="870">
        <v>0</v>
      </c>
      <c r="M455" s="870">
        <v>0</v>
      </c>
      <c r="N455" s="870">
        <v>0</v>
      </c>
      <c r="O455" s="870">
        <f t="shared" si="203"/>
        <v>0</v>
      </c>
      <c r="P455" s="870">
        <f t="shared" si="204"/>
        <v>0</v>
      </c>
      <c r="Q455" s="1297"/>
      <c r="R455" s="1297"/>
      <c r="S455" s="1297"/>
      <c r="T455" s="1297"/>
      <c r="U455" s="1297"/>
      <c r="V455" s="1297"/>
      <c r="W455" s="1297"/>
      <c r="X455" s="1297"/>
      <c r="Y455" s="1297"/>
      <c r="Z455" s="1297"/>
    </row>
    <row r="456" spans="1:26" ht="18.75" hidden="1">
      <c r="A456" s="1293"/>
      <c r="B456" s="1298"/>
      <c r="C456" s="1298"/>
      <c r="D456" s="1298"/>
      <c r="E456" s="1298" t="s">
        <v>19</v>
      </c>
      <c r="F456" s="1294"/>
      <c r="G456" s="1296"/>
      <c r="H456" s="169" t="s">
        <v>12</v>
      </c>
      <c r="I456" s="980"/>
      <c r="J456" s="980"/>
      <c r="K456" s="981"/>
      <c r="L456" s="870">
        <f ca="1">IFERROR(__xludf.DUMMYFUNCTION("IMPORTRANGE(""https://docs.google.com/spreadsheets/d/1QqKyyYR6Q21VydFLVH3TRQUabQu_ym0Zz7PgGX0-kHA/edit?usp=sharing"",""แผน!FM51"")"),0)</f>
        <v>0</v>
      </c>
      <c r="M456" s="870">
        <v>0</v>
      </c>
      <c r="N456" s="870">
        <v>0</v>
      </c>
      <c r="O456" s="870">
        <f t="shared" ca="1" si="203"/>
        <v>0</v>
      </c>
      <c r="P456" s="870">
        <f t="shared" si="204"/>
        <v>0</v>
      </c>
      <c r="Q456" s="1297"/>
      <c r="R456" s="1297"/>
      <c r="S456" s="1297"/>
      <c r="T456" s="1297"/>
      <c r="U456" s="1297"/>
      <c r="V456" s="1297"/>
      <c r="W456" s="1297"/>
      <c r="X456" s="1297"/>
      <c r="Y456" s="1297"/>
      <c r="Z456" s="1297"/>
    </row>
    <row r="457" spans="1:26" ht="19.5">
      <c r="A457" s="1300"/>
      <c r="B457" s="1301"/>
      <c r="C457" s="1275" t="s">
        <v>16</v>
      </c>
      <c r="D457" s="1302" t="s">
        <v>38</v>
      </c>
      <c r="E457" s="1303"/>
      <c r="F457" s="1304"/>
      <c r="G457" s="1305"/>
      <c r="H457" s="987"/>
      <c r="I457" s="863"/>
      <c r="J457" s="863"/>
      <c r="K457" s="864"/>
      <c r="L457" s="864"/>
      <c r="M457" s="864"/>
      <c r="N457" s="864"/>
      <c r="O457" s="864"/>
      <c r="P457" s="864"/>
      <c r="Q457" s="1277"/>
      <c r="R457" s="1277"/>
      <c r="S457" s="1277"/>
      <c r="T457" s="1277"/>
      <c r="U457" s="1277"/>
      <c r="V457" s="1277"/>
      <c r="W457" s="1277"/>
      <c r="X457" s="1277"/>
      <c r="Y457" s="1277"/>
      <c r="Z457" s="1277"/>
    </row>
    <row r="458" spans="1:26" ht="18.75" hidden="1">
      <c r="A458" s="1306"/>
      <c r="B458" s="1307"/>
      <c r="C458" s="1307"/>
      <c r="D458" s="1307" t="s">
        <v>200</v>
      </c>
      <c r="E458" s="1307"/>
      <c r="F458" s="1295"/>
      <c r="G458" s="1092"/>
      <c r="H458" s="370" t="s">
        <v>35</v>
      </c>
      <c r="I458" s="869">
        <v>0</v>
      </c>
      <c r="J458" s="869">
        <v>0</v>
      </c>
      <c r="K458" s="870">
        <f>IF(I458&gt;0,J458*100/I458,0)</f>
        <v>0</v>
      </c>
      <c r="L458" s="870"/>
      <c r="M458" s="870"/>
      <c r="N458" s="870"/>
      <c r="O458" s="870"/>
      <c r="P458" s="870"/>
      <c r="Q458" s="1297"/>
      <c r="R458" s="1297"/>
      <c r="S458" s="1297"/>
      <c r="T458" s="1297"/>
      <c r="U458" s="1297"/>
      <c r="V458" s="1297"/>
      <c r="W458" s="1297"/>
      <c r="X458" s="1297"/>
      <c r="Y458" s="1297"/>
      <c r="Z458" s="1297"/>
    </row>
    <row r="459" spans="1:26" ht="18.75" hidden="1">
      <c r="A459" s="1306"/>
      <c r="B459" s="1307"/>
      <c r="C459" s="1307"/>
      <c r="D459" s="1307" t="s">
        <v>201</v>
      </c>
      <c r="E459" s="1307"/>
      <c r="F459" s="1295"/>
      <c r="G459" s="1092"/>
      <c r="H459" s="370"/>
      <c r="I459" s="869"/>
      <c r="J459" s="869"/>
      <c r="K459" s="870"/>
      <c r="L459" s="870"/>
      <c r="M459" s="870"/>
      <c r="N459" s="870"/>
      <c r="O459" s="870"/>
      <c r="P459" s="870"/>
      <c r="Q459" s="1297"/>
      <c r="R459" s="1297"/>
      <c r="S459" s="1297"/>
      <c r="T459" s="1297"/>
      <c r="U459" s="1297"/>
      <c r="V459" s="1297"/>
      <c r="W459" s="1297"/>
      <c r="X459" s="1297"/>
      <c r="Y459" s="1297"/>
      <c r="Z459" s="1297"/>
    </row>
    <row r="460" spans="1:26" ht="18.75">
      <c r="A460" s="1300"/>
      <c r="B460" s="1301"/>
      <c r="C460" s="1301"/>
      <c r="D460" s="1301" t="s">
        <v>202</v>
      </c>
      <c r="E460" s="1301"/>
      <c r="F460" s="994"/>
      <c r="G460" s="987"/>
      <c r="H460" s="757" t="s">
        <v>35</v>
      </c>
      <c r="I460" s="863">
        <f ca="1">IFERROR(__xludf.DUMMYFUNCTION("IMPORTRANGE(""https://docs.google.com/spreadsheets/d/1QqKyyYR6Q21VydFLVH3TRQUabQu_ym0Zz7PgGX0-kHA/edit?usp=sharing"",""แผน!FN51"")"),90)</f>
        <v>90</v>
      </c>
      <c r="J460" s="992">
        <v>90</v>
      </c>
      <c r="K460" s="864">
        <f ca="1">IF(I460&gt;0,J460*100/I460,0)</f>
        <v>100</v>
      </c>
      <c r="L460" s="864"/>
      <c r="M460" s="864"/>
      <c r="N460" s="864"/>
      <c r="O460" s="864"/>
      <c r="P460" s="864"/>
      <c r="Q460" s="1277"/>
      <c r="R460" s="1277"/>
      <c r="S460" s="1277"/>
      <c r="T460" s="1277"/>
      <c r="U460" s="1277"/>
      <c r="V460" s="1277"/>
      <c r="W460" s="1277"/>
      <c r="X460" s="1277"/>
      <c r="Y460" s="1277"/>
      <c r="Z460" s="1277"/>
    </row>
    <row r="461" spans="1:26" ht="18.75">
      <c r="A461" s="1300"/>
      <c r="B461" s="1301"/>
      <c r="C461" s="1301"/>
      <c r="D461" s="1301" t="s">
        <v>203</v>
      </c>
      <c r="E461" s="994"/>
      <c r="F461" s="994"/>
      <c r="G461" s="987"/>
      <c r="H461" s="757"/>
      <c r="I461" s="863"/>
      <c r="J461" s="863"/>
      <c r="K461" s="864"/>
      <c r="L461" s="864"/>
      <c r="M461" s="864"/>
      <c r="N461" s="864"/>
      <c r="O461" s="864"/>
      <c r="P461" s="864"/>
      <c r="Q461" s="1277"/>
      <c r="R461" s="1277"/>
      <c r="S461" s="1277"/>
      <c r="T461" s="1277"/>
      <c r="U461" s="1277"/>
      <c r="V461" s="1277"/>
      <c r="W461" s="1277"/>
      <c r="X461" s="1277"/>
      <c r="Y461" s="1277"/>
      <c r="Z461" s="1277"/>
    </row>
    <row r="462" spans="1:26" ht="18.75">
      <c r="A462" s="1300"/>
      <c r="B462" s="1301"/>
      <c r="C462" s="1301"/>
      <c r="D462" s="1301" t="s">
        <v>204</v>
      </c>
      <c r="E462" s="994"/>
      <c r="F462" s="994"/>
      <c r="G462" s="987"/>
      <c r="H462" s="757" t="s">
        <v>46</v>
      </c>
      <c r="I462" s="863">
        <f ca="1">IFERROR(__xludf.DUMMYFUNCTION("IMPORTRANGE(""https://docs.google.com/spreadsheets/d/1QqKyyYR6Q21VydFLVH3TRQUabQu_ym0Zz7PgGX0-kHA/edit?usp=sharing"",""แผน!FO51"")"),300)</f>
        <v>300</v>
      </c>
      <c r="J462" s="992">
        <v>300</v>
      </c>
      <c r="K462" s="864">
        <f ca="1">IF(I462&gt;0,J462*100/I462,0)</f>
        <v>100</v>
      </c>
      <c r="L462" s="864"/>
      <c r="M462" s="864"/>
      <c r="N462" s="864"/>
      <c r="O462" s="864"/>
      <c r="P462" s="864"/>
      <c r="Q462" s="1277"/>
      <c r="R462" s="1277"/>
      <c r="S462" s="1277"/>
      <c r="T462" s="1277"/>
      <c r="U462" s="1277"/>
      <c r="V462" s="1277"/>
      <c r="W462" s="1277"/>
      <c r="X462" s="1277"/>
      <c r="Y462" s="1277"/>
      <c r="Z462" s="1277"/>
    </row>
    <row r="463" spans="1:26" ht="18.75">
      <c r="A463" s="1300"/>
      <c r="B463" s="1301"/>
      <c r="C463" s="1301"/>
      <c r="D463" s="1301" t="s">
        <v>59</v>
      </c>
      <c r="E463" s="994"/>
      <c r="F463" s="1276"/>
      <c r="G463" s="996"/>
      <c r="H463" s="757" t="s">
        <v>46</v>
      </c>
      <c r="I463" s="863">
        <f ca="1">IFERROR(__xludf.DUMMYFUNCTION("IMPORTRANGE(""https://docs.google.com/spreadsheets/d/1QqKyyYR6Q21VydFLVH3TRQUabQu_ym0Zz7PgGX0-kHA/edit?usp=sharing"",""แผน!FO51"")"),300)</f>
        <v>300</v>
      </c>
      <c r="J463" s="992">
        <v>300</v>
      </c>
      <c r="K463" s="864"/>
      <c r="L463" s="864"/>
      <c r="M463" s="864"/>
      <c r="N463" s="864"/>
      <c r="O463" s="864"/>
      <c r="P463" s="864"/>
      <c r="Q463" s="1277"/>
      <c r="R463" s="1277"/>
      <c r="S463" s="1277"/>
      <c r="T463" s="1277"/>
      <c r="U463" s="1277"/>
      <c r="V463" s="1277"/>
      <c r="W463" s="1277"/>
      <c r="X463" s="1277"/>
      <c r="Y463" s="1277"/>
      <c r="Z463" s="1277"/>
    </row>
    <row r="464" spans="1:26" ht="19.5">
      <c r="A464" s="1300"/>
      <c r="B464" s="1301"/>
      <c r="C464" s="1301"/>
      <c r="D464" s="1301"/>
      <c r="E464" s="994"/>
      <c r="F464" s="994"/>
      <c r="G464" s="1308"/>
      <c r="H464" s="757" t="s">
        <v>35</v>
      </c>
      <c r="I464" s="863">
        <f ca="1">IFERROR(__xludf.DUMMYFUNCTION("IMPORTRANGE(""https://docs.google.com/spreadsheets/d/1QqKyyYR6Q21VydFLVH3TRQUabQu_ym0Zz7PgGX0-kHA/edit?usp=sharing"",""แผน!FN51"")"),90)</f>
        <v>90</v>
      </c>
      <c r="J464" s="992">
        <v>90</v>
      </c>
      <c r="K464" s="864"/>
      <c r="L464" s="864"/>
      <c r="M464" s="864"/>
      <c r="N464" s="864"/>
      <c r="O464" s="864"/>
      <c r="P464" s="864"/>
      <c r="Q464" s="1277"/>
      <c r="R464" s="1277"/>
      <c r="S464" s="1277"/>
      <c r="T464" s="1277"/>
      <c r="U464" s="1277"/>
      <c r="V464" s="1277"/>
      <c r="W464" s="1277"/>
      <c r="X464" s="1277"/>
      <c r="Y464" s="1277"/>
      <c r="Z464" s="1277"/>
    </row>
    <row r="465" spans="1:26" ht="19.5">
      <c r="A465" s="579">
        <v>3</v>
      </c>
      <c r="B465" s="1282" t="s">
        <v>205</v>
      </c>
      <c r="C465" s="1283"/>
      <c r="D465" s="1283"/>
      <c r="E465" s="1283"/>
      <c r="F465" s="1283"/>
      <c r="G465" s="1284"/>
      <c r="H465" s="583" t="s">
        <v>35</v>
      </c>
      <c r="I465" s="1285">
        <f ca="1">IFERROR(__xludf.DUMMYFUNCTION("IMPORTRANGE(""https://docs.google.com/spreadsheets/d/1QqKyyYR6Q21VydFLVH3TRQUabQu_ym0Zz7PgGX0-kHA/edit?usp=sharing"",""แผน!FX51"")"),131)</f>
        <v>131</v>
      </c>
      <c r="J465" s="1285">
        <f>J485+J489+J492</f>
        <v>131</v>
      </c>
      <c r="K465" s="1286">
        <f t="shared" ref="K465:K466" ca="1" si="205">IF(I465&gt;0,J465*100/I465,0)</f>
        <v>100</v>
      </c>
      <c r="L465" s="1287"/>
      <c r="M465" s="1287"/>
      <c r="N465" s="1287"/>
      <c r="O465" s="1287"/>
      <c r="P465" s="1287"/>
      <c r="Q465" s="1277"/>
      <c r="R465" s="1277"/>
      <c r="S465" s="1277"/>
      <c r="T465" s="1277"/>
      <c r="U465" s="1277"/>
      <c r="V465" s="1277"/>
      <c r="W465" s="1277"/>
      <c r="X465" s="1277"/>
      <c r="Y465" s="1277"/>
      <c r="Z465" s="1277"/>
    </row>
    <row r="466" spans="1:26" ht="19.5">
      <c r="A466" s="1288"/>
      <c r="B466" s="1289"/>
      <c r="C466" s="1290"/>
      <c r="D466" s="1290"/>
      <c r="E466" s="1290"/>
      <c r="F466" s="1290"/>
      <c r="G466" s="1291"/>
      <c r="H466" s="563" t="s">
        <v>46</v>
      </c>
      <c r="I466" s="1270">
        <f ca="1">IFERROR(__xludf.DUMMYFUNCTION("IMPORTRANGE(""https://docs.google.com/spreadsheets/d/1QqKyyYR6Q21VydFLVH3TRQUabQu_ym0Zz7PgGX0-kHA/edit?usp=sharing"",""แผน!FW51"")"),1300)</f>
        <v>1300</v>
      </c>
      <c r="J466" s="1270">
        <f>J495+J498</f>
        <v>0</v>
      </c>
      <c r="K466" s="1271">
        <f t="shared" ca="1" si="205"/>
        <v>0</v>
      </c>
      <c r="L466" s="1272"/>
      <c r="M466" s="1272"/>
      <c r="N466" s="1272"/>
      <c r="O466" s="1272"/>
      <c r="P466" s="1272"/>
      <c r="Q466" s="1277"/>
      <c r="R466" s="1277"/>
      <c r="S466" s="1277"/>
      <c r="T466" s="1277"/>
      <c r="U466" s="1277"/>
      <c r="V466" s="1277"/>
      <c r="W466" s="1277"/>
      <c r="X466" s="1277"/>
      <c r="Y466" s="1277"/>
      <c r="Z466" s="1277"/>
    </row>
    <row r="467" spans="1:26" ht="19.5">
      <c r="A467" s="1292"/>
      <c r="B467" s="1276"/>
      <c r="C467" s="1276" t="s">
        <v>16</v>
      </c>
      <c r="D467" s="1555" t="s">
        <v>17</v>
      </c>
      <c r="E467" s="1533"/>
      <c r="F467" s="1533"/>
      <c r="G467" s="996"/>
      <c r="H467" s="592" t="s">
        <v>12</v>
      </c>
      <c r="I467" s="863"/>
      <c r="J467" s="863"/>
      <c r="K467" s="864"/>
      <c r="L467" s="1000">
        <f t="shared" ref="L467:N467" ca="1" si="206">L468+L469</f>
        <v>1172698</v>
      </c>
      <c r="M467" s="1000">
        <f t="shared" si="206"/>
        <v>0</v>
      </c>
      <c r="N467" s="1000">
        <f t="shared" si="206"/>
        <v>162362</v>
      </c>
      <c r="O467" s="1000">
        <f t="shared" ref="O467:O472" ca="1" si="207">IF(L467&gt;0,N467*100/L467,0)</f>
        <v>13.845167297974415</v>
      </c>
      <c r="P467" s="1000">
        <f t="shared" ref="P467:P472" si="208">IF(M467&gt;0,N467*100/M467,0)</f>
        <v>0</v>
      </c>
      <c r="Q467" s="1277"/>
      <c r="R467" s="1277"/>
      <c r="S467" s="1277"/>
      <c r="T467" s="1277"/>
      <c r="U467" s="1277"/>
      <c r="V467" s="1277"/>
      <c r="W467" s="1277"/>
      <c r="X467" s="1277"/>
      <c r="Y467" s="1277"/>
      <c r="Z467" s="1277"/>
    </row>
    <row r="468" spans="1:26" ht="18.75" hidden="1">
      <c r="A468" s="1293"/>
      <c r="B468" s="1294"/>
      <c r="C468" s="1294"/>
      <c r="D468" s="1295"/>
      <c r="E468" s="1294" t="s">
        <v>184</v>
      </c>
      <c r="F468" s="1294"/>
      <c r="G468" s="1296"/>
      <c r="H468" s="165" t="s">
        <v>12</v>
      </c>
      <c r="I468" s="869"/>
      <c r="J468" s="869"/>
      <c r="K468" s="870"/>
      <c r="L468" s="870">
        <f t="shared" ref="L468:N469" si="209">L471+L478</f>
        <v>0</v>
      </c>
      <c r="M468" s="870">
        <f t="shared" si="209"/>
        <v>0</v>
      </c>
      <c r="N468" s="870">
        <f t="shared" si="209"/>
        <v>0</v>
      </c>
      <c r="O468" s="870">
        <f t="shared" si="207"/>
        <v>0</v>
      </c>
      <c r="P468" s="870">
        <f t="shared" si="208"/>
        <v>0</v>
      </c>
      <c r="Q468" s="1297"/>
      <c r="R468" s="1297"/>
      <c r="S468" s="1297"/>
      <c r="T468" s="1297"/>
      <c r="U468" s="1297"/>
      <c r="V468" s="1297"/>
      <c r="W468" s="1297"/>
      <c r="X468" s="1297"/>
      <c r="Y468" s="1297"/>
      <c r="Z468" s="1297"/>
    </row>
    <row r="469" spans="1:26" ht="18.75" hidden="1">
      <c r="A469" s="1293"/>
      <c r="B469" s="1298"/>
      <c r="C469" s="1294"/>
      <c r="D469" s="1295"/>
      <c r="E469" s="1294" t="s">
        <v>185</v>
      </c>
      <c r="F469" s="1294"/>
      <c r="G469" s="1296"/>
      <c r="H469" s="165" t="s">
        <v>12</v>
      </c>
      <c r="I469" s="869"/>
      <c r="J469" s="869"/>
      <c r="K469" s="870"/>
      <c r="L469" s="870">
        <f t="shared" ca="1" si="209"/>
        <v>1172698</v>
      </c>
      <c r="M469" s="870">
        <f t="shared" si="209"/>
        <v>0</v>
      </c>
      <c r="N469" s="870">
        <f t="shared" si="209"/>
        <v>162362</v>
      </c>
      <c r="O469" s="870">
        <f t="shared" ca="1" si="207"/>
        <v>13.845167297974415</v>
      </c>
      <c r="P469" s="870">
        <f t="shared" si="208"/>
        <v>0</v>
      </c>
      <c r="Q469" s="1297"/>
      <c r="R469" s="1297"/>
      <c r="S469" s="1297"/>
      <c r="T469" s="1297"/>
      <c r="U469" s="1297"/>
      <c r="V469" s="1297"/>
      <c r="W469" s="1297"/>
      <c r="X469" s="1297"/>
      <c r="Y469" s="1297"/>
      <c r="Z469" s="1297"/>
    </row>
    <row r="470" spans="1:26" ht="18.75">
      <c r="A470" s="1292"/>
      <c r="B470" s="1275"/>
      <c r="C470" s="1276"/>
      <c r="D470" s="1299" t="s">
        <v>20</v>
      </c>
      <c r="E470" s="1276"/>
      <c r="F470" s="1276"/>
      <c r="G470" s="996"/>
      <c r="H470" s="161" t="s">
        <v>12</v>
      </c>
      <c r="I470" s="977"/>
      <c r="J470" s="977"/>
      <c r="K470" s="978"/>
      <c r="L470" s="864">
        <f t="shared" ref="L470:N470" ca="1" si="210">L471+L472</f>
        <v>1172698</v>
      </c>
      <c r="M470" s="864">
        <f t="shared" si="210"/>
        <v>0</v>
      </c>
      <c r="N470" s="864">
        <f t="shared" si="210"/>
        <v>162362</v>
      </c>
      <c r="O470" s="864">
        <f t="shared" ca="1" si="207"/>
        <v>13.845167297974415</v>
      </c>
      <c r="P470" s="864">
        <f t="shared" si="208"/>
        <v>0</v>
      </c>
      <c r="Q470" s="1277"/>
      <c r="R470" s="1277"/>
      <c r="S470" s="1277"/>
      <c r="T470" s="1277"/>
      <c r="U470" s="1277"/>
      <c r="V470" s="1277"/>
      <c r="W470" s="1277"/>
      <c r="X470" s="1277"/>
      <c r="Y470" s="1277"/>
      <c r="Z470" s="1277"/>
    </row>
    <row r="471" spans="1:26" ht="18.75" hidden="1">
      <c r="A471" s="1293"/>
      <c r="B471" s="1298"/>
      <c r="C471" s="1294"/>
      <c r="D471" s="1295"/>
      <c r="E471" s="1294" t="s">
        <v>184</v>
      </c>
      <c r="F471" s="1294"/>
      <c r="G471" s="1296"/>
      <c r="H471" s="165" t="s">
        <v>12</v>
      </c>
      <c r="I471" s="869"/>
      <c r="J471" s="869"/>
      <c r="K471" s="870"/>
      <c r="L471" s="870">
        <v>0</v>
      </c>
      <c r="M471" s="870">
        <v>0</v>
      </c>
      <c r="N471" s="870">
        <v>0</v>
      </c>
      <c r="O471" s="870">
        <f t="shared" si="207"/>
        <v>0</v>
      </c>
      <c r="P471" s="870">
        <f t="shared" si="208"/>
        <v>0</v>
      </c>
      <c r="Q471" s="1297"/>
      <c r="R471" s="1297"/>
      <c r="S471" s="1297"/>
      <c r="T471" s="1297"/>
      <c r="U471" s="1297"/>
      <c r="V471" s="1297"/>
      <c r="W471" s="1297"/>
      <c r="X471" s="1297"/>
      <c r="Y471" s="1297"/>
      <c r="Z471" s="1297"/>
    </row>
    <row r="472" spans="1:26" ht="18.75" hidden="1">
      <c r="A472" s="1293"/>
      <c r="B472" s="1298"/>
      <c r="C472" s="1294"/>
      <c r="D472" s="1295"/>
      <c r="E472" s="1294" t="s">
        <v>185</v>
      </c>
      <c r="F472" s="1294"/>
      <c r="G472" s="1296"/>
      <c r="H472" s="165" t="s">
        <v>12</v>
      </c>
      <c r="I472" s="869"/>
      <c r="J472" s="869"/>
      <c r="K472" s="870"/>
      <c r="L472" s="870">
        <f ca="1">IFERROR(__xludf.DUMMYFUNCTION("IMPORTRANGE(""https://docs.google.com/spreadsheets/d/1QqKyyYR6Q21VydFLVH3TRQUabQu_ym0Zz7PgGX0-kHA/edit?usp=sharing"",""แผน!FS51"")"),1172698)</f>
        <v>1172698</v>
      </c>
      <c r="M472" s="870">
        <v>0</v>
      </c>
      <c r="N472" s="870">
        <f>N473+N474+N475+N476</f>
        <v>162362</v>
      </c>
      <c r="O472" s="870">
        <f t="shared" ca="1" si="207"/>
        <v>13.845167297974415</v>
      </c>
      <c r="P472" s="870">
        <f t="shared" si="208"/>
        <v>0</v>
      </c>
      <c r="Q472" s="1297"/>
      <c r="R472" s="1297"/>
      <c r="S472" s="1297"/>
      <c r="T472" s="1297"/>
      <c r="U472" s="1297"/>
      <c r="V472" s="1297"/>
      <c r="W472" s="1297"/>
      <c r="X472" s="1297"/>
      <c r="Y472" s="1297"/>
      <c r="Z472" s="1297"/>
    </row>
    <row r="473" spans="1:26" ht="18.75">
      <c r="A473" s="1274"/>
      <c r="B473" s="1275"/>
      <c r="C473" s="1276"/>
      <c r="D473" s="1276"/>
      <c r="E473" s="1276"/>
      <c r="F473" s="1276" t="s">
        <v>186</v>
      </c>
      <c r="G473" s="996"/>
      <c r="H473" s="161" t="s">
        <v>12</v>
      </c>
      <c r="I473" s="863"/>
      <c r="J473" s="863"/>
      <c r="K473" s="864"/>
      <c r="L473" s="864"/>
      <c r="M473" s="864"/>
      <c r="N473" s="1064">
        <v>71076</v>
      </c>
      <c r="O473" s="864"/>
      <c r="P473" s="864"/>
      <c r="Q473" s="1277"/>
      <c r="R473" s="1277"/>
      <c r="S473" s="1277"/>
      <c r="T473" s="1277"/>
      <c r="U473" s="1277"/>
      <c r="V473" s="1277"/>
      <c r="W473" s="1277"/>
      <c r="X473" s="1277"/>
      <c r="Y473" s="1277"/>
      <c r="Z473" s="1277"/>
    </row>
    <row r="474" spans="1:26" ht="18.75">
      <c r="A474" s="1274"/>
      <c r="B474" s="1275"/>
      <c r="C474" s="1276"/>
      <c r="D474" s="1276"/>
      <c r="E474" s="1276"/>
      <c r="F474" s="1276" t="s">
        <v>187</v>
      </c>
      <c r="G474" s="996"/>
      <c r="H474" s="161" t="s">
        <v>12</v>
      </c>
      <c r="I474" s="863"/>
      <c r="J474" s="863"/>
      <c r="K474" s="864"/>
      <c r="L474" s="864"/>
      <c r="M474" s="864"/>
      <c r="N474" s="1064">
        <v>0</v>
      </c>
      <c r="O474" s="864"/>
      <c r="P474" s="864"/>
      <c r="Q474" s="1277"/>
      <c r="R474" s="1277"/>
      <c r="S474" s="1277"/>
      <c r="T474" s="1277"/>
      <c r="U474" s="1277"/>
      <c r="V474" s="1277"/>
      <c r="W474" s="1277"/>
      <c r="X474" s="1277"/>
      <c r="Y474" s="1277"/>
      <c r="Z474" s="1277"/>
    </row>
    <row r="475" spans="1:26" ht="18.75">
      <c r="A475" s="1274"/>
      <c r="B475" s="1275"/>
      <c r="C475" s="1275"/>
      <c r="D475" s="1275"/>
      <c r="E475" s="1275"/>
      <c r="F475" s="1276" t="s">
        <v>188</v>
      </c>
      <c r="G475" s="996"/>
      <c r="H475" s="161" t="s">
        <v>12</v>
      </c>
      <c r="I475" s="863"/>
      <c r="J475" s="863"/>
      <c r="K475" s="864"/>
      <c r="L475" s="864"/>
      <c r="M475" s="864"/>
      <c r="N475" s="1064">
        <v>65000</v>
      </c>
      <c r="O475" s="864"/>
      <c r="P475" s="864"/>
      <c r="Q475" s="1277"/>
      <c r="R475" s="1277"/>
      <c r="S475" s="1277"/>
      <c r="T475" s="1277"/>
      <c r="U475" s="1277"/>
      <c r="V475" s="1277"/>
      <c r="W475" s="1277"/>
      <c r="X475" s="1277"/>
      <c r="Y475" s="1277"/>
      <c r="Z475" s="1277"/>
    </row>
    <row r="476" spans="1:26" ht="18.75">
      <c r="A476" s="1274"/>
      <c r="B476" s="1275"/>
      <c r="C476" s="1275"/>
      <c r="D476" s="1275"/>
      <c r="E476" s="1275"/>
      <c r="F476" s="1276" t="s">
        <v>189</v>
      </c>
      <c r="G476" s="996"/>
      <c r="H476" s="161" t="s">
        <v>12</v>
      </c>
      <c r="I476" s="863"/>
      <c r="J476" s="863"/>
      <c r="K476" s="864"/>
      <c r="L476" s="864"/>
      <c r="M476" s="864"/>
      <c r="N476" s="1064">
        <f>3900+3846+5540+3250+7840+1910</f>
        <v>26286</v>
      </c>
      <c r="O476" s="864"/>
      <c r="P476" s="864"/>
      <c r="Q476" s="1277"/>
      <c r="R476" s="1277"/>
      <c r="S476" s="1277"/>
      <c r="T476" s="1277"/>
      <c r="U476" s="1277"/>
      <c r="V476" s="1277"/>
      <c r="W476" s="1277"/>
      <c r="X476" s="1277"/>
      <c r="Y476" s="1277"/>
      <c r="Z476" s="1277"/>
    </row>
    <row r="477" spans="1:26" ht="18.75">
      <c r="A477" s="1292"/>
      <c r="B477" s="1275"/>
      <c r="C477" s="1275"/>
      <c r="D477" s="1299" t="s">
        <v>21</v>
      </c>
      <c r="E477" s="1275"/>
      <c r="F477" s="1275"/>
      <c r="G477" s="996"/>
      <c r="H477" s="168" t="s">
        <v>12</v>
      </c>
      <c r="I477" s="977"/>
      <c r="J477" s="977"/>
      <c r="K477" s="978"/>
      <c r="L477" s="864">
        <f t="shared" ref="L477:N477" ca="1" si="211">L478+L479</f>
        <v>0</v>
      </c>
      <c r="M477" s="864">
        <f t="shared" si="211"/>
        <v>0</v>
      </c>
      <c r="N477" s="864">
        <f t="shared" si="211"/>
        <v>0</v>
      </c>
      <c r="O477" s="864">
        <f t="shared" ref="O477:O479" ca="1" si="212">IF(L477&gt;0,N477*100/L477,0)</f>
        <v>0</v>
      </c>
      <c r="P477" s="864">
        <f t="shared" ref="P477:P479" si="213">IF(M477&gt;0,N477*100/M477,0)</f>
        <v>0</v>
      </c>
      <c r="Q477" s="1277"/>
      <c r="R477" s="1277"/>
      <c r="S477" s="1277"/>
      <c r="T477" s="1277"/>
      <c r="U477" s="1277"/>
      <c r="V477" s="1277"/>
      <c r="W477" s="1277"/>
      <c r="X477" s="1277"/>
      <c r="Y477" s="1277"/>
      <c r="Z477" s="1277"/>
    </row>
    <row r="478" spans="1:26" ht="18.75" hidden="1">
      <c r="A478" s="1293"/>
      <c r="B478" s="1298"/>
      <c r="C478" s="1298"/>
      <c r="D478" s="1298"/>
      <c r="E478" s="1298" t="s">
        <v>18</v>
      </c>
      <c r="F478" s="1298"/>
      <c r="G478" s="1296"/>
      <c r="H478" s="165" t="s">
        <v>12</v>
      </c>
      <c r="I478" s="980"/>
      <c r="J478" s="980"/>
      <c r="K478" s="981"/>
      <c r="L478" s="870">
        <v>0</v>
      </c>
      <c r="M478" s="870">
        <v>0</v>
      </c>
      <c r="N478" s="870">
        <v>0</v>
      </c>
      <c r="O478" s="870">
        <f t="shared" si="212"/>
        <v>0</v>
      </c>
      <c r="P478" s="870">
        <f t="shared" si="213"/>
        <v>0</v>
      </c>
      <c r="Q478" s="1297"/>
      <c r="R478" s="1297"/>
      <c r="S478" s="1297"/>
      <c r="T478" s="1297"/>
      <c r="U478" s="1297"/>
      <c r="V478" s="1297"/>
      <c r="W478" s="1297"/>
      <c r="X478" s="1297"/>
      <c r="Y478" s="1297"/>
      <c r="Z478" s="1297"/>
    </row>
    <row r="479" spans="1:26" ht="18.75" hidden="1">
      <c r="A479" s="1293"/>
      <c r="B479" s="1298"/>
      <c r="C479" s="1298"/>
      <c r="D479" s="1298"/>
      <c r="E479" s="1298" t="s">
        <v>19</v>
      </c>
      <c r="F479" s="1298"/>
      <c r="G479" s="1296"/>
      <c r="H479" s="169" t="s">
        <v>12</v>
      </c>
      <c r="I479" s="980"/>
      <c r="J479" s="980"/>
      <c r="K479" s="981"/>
      <c r="L479" s="870">
        <f ca="1">IFERROR(__xludf.DUMMYFUNCTION("IMPORTRANGE(""https://docs.google.com/spreadsheets/d/1QqKyyYR6Q21VydFLVH3TRQUabQu_ym0Zz7PgGX0-kHA/edit?usp=sharing"",""แผน!FV51"")"),0)</f>
        <v>0</v>
      </c>
      <c r="M479" s="870">
        <v>0</v>
      </c>
      <c r="N479" s="870">
        <v>0</v>
      </c>
      <c r="O479" s="870">
        <f t="shared" ca="1" si="212"/>
        <v>0</v>
      </c>
      <c r="P479" s="870">
        <f t="shared" si="213"/>
        <v>0</v>
      </c>
      <c r="Q479" s="1297"/>
      <c r="R479" s="1297"/>
      <c r="S479" s="1297"/>
      <c r="T479" s="1297"/>
      <c r="U479" s="1297"/>
      <c r="V479" s="1297"/>
      <c r="W479" s="1297"/>
      <c r="X479" s="1297"/>
      <c r="Y479" s="1297"/>
      <c r="Z479" s="1297"/>
    </row>
    <row r="480" spans="1:26" ht="19.5">
      <c r="A480" s="1300"/>
      <c r="B480" s="1301"/>
      <c r="C480" s="1275" t="s">
        <v>16</v>
      </c>
      <c r="D480" s="1309" t="s">
        <v>38</v>
      </c>
      <c r="E480" s="1303"/>
      <c r="F480" s="1304"/>
      <c r="G480" s="1305"/>
      <c r="H480" s="987"/>
      <c r="I480" s="863"/>
      <c r="J480" s="863"/>
      <c r="K480" s="864"/>
      <c r="L480" s="864"/>
      <c r="M480" s="864"/>
      <c r="N480" s="864"/>
      <c r="O480" s="864"/>
      <c r="P480" s="864"/>
      <c r="Q480" s="1277"/>
      <c r="R480" s="1277"/>
      <c r="S480" s="1277"/>
      <c r="T480" s="1277"/>
      <c r="U480" s="1277"/>
      <c r="V480" s="1277"/>
      <c r="W480" s="1277"/>
      <c r="X480" s="1277"/>
      <c r="Y480" s="1277"/>
      <c r="Z480" s="1277"/>
    </row>
    <row r="481" spans="1:26" ht="19.5">
      <c r="A481" s="1300"/>
      <c r="B481" s="1301"/>
      <c r="C481" s="1301"/>
      <c r="D481" s="1310" t="s">
        <v>206</v>
      </c>
      <c r="E481" s="1301"/>
      <c r="F481" s="1301"/>
      <c r="G481" s="987"/>
      <c r="H481" s="996"/>
      <c r="I481" s="863"/>
      <c r="J481" s="863"/>
      <c r="K481" s="864"/>
      <c r="L481" s="864"/>
      <c r="M481" s="864"/>
      <c r="N481" s="864"/>
      <c r="O481" s="864"/>
      <c r="P481" s="864"/>
      <c r="Q481" s="1277"/>
      <c r="R481" s="1277"/>
      <c r="S481" s="1277"/>
      <c r="T481" s="1277"/>
      <c r="U481" s="1277"/>
      <c r="V481" s="1277"/>
      <c r="W481" s="1277"/>
      <c r="X481" s="1277"/>
      <c r="Y481" s="1277"/>
      <c r="Z481" s="1277"/>
    </row>
    <row r="482" spans="1:26" ht="18.75">
      <c r="A482" s="1300"/>
      <c r="B482" s="1301"/>
      <c r="C482" s="1301"/>
      <c r="D482" s="1301"/>
      <c r="E482" s="1301" t="s">
        <v>207</v>
      </c>
      <c r="F482" s="1301"/>
      <c r="G482" s="987"/>
      <c r="H482" s="996"/>
      <c r="I482" s="863"/>
      <c r="J482" s="863"/>
      <c r="K482" s="864"/>
      <c r="L482" s="864"/>
      <c r="M482" s="864"/>
      <c r="N482" s="864"/>
      <c r="O482" s="864"/>
      <c r="P482" s="864"/>
      <c r="Q482" s="1277"/>
      <c r="R482" s="1277"/>
      <c r="S482" s="1277"/>
      <c r="T482" s="1277"/>
      <c r="U482" s="1277"/>
      <c r="V482" s="1277"/>
      <c r="W482" s="1277"/>
      <c r="X482" s="1277"/>
      <c r="Y482" s="1277"/>
      <c r="Z482" s="1277"/>
    </row>
    <row r="483" spans="1:26" ht="18.75">
      <c r="A483" s="1300"/>
      <c r="B483" s="1301"/>
      <c r="C483" s="1301"/>
      <c r="D483" s="1301"/>
      <c r="E483" s="1301"/>
      <c r="F483" s="1301" t="s">
        <v>208</v>
      </c>
      <c r="G483" s="987"/>
      <c r="H483" s="617" t="s">
        <v>46</v>
      </c>
      <c r="I483" s="863">
        <f ca="1">IFERROR(__xludf.DUMMYFUNCTION("IMPORTRANGE(""https://docs.google.com/spreadsheets/d/1QqKyyYR6Q21VydFLVH3TRQUabQu_ym0Zz7PgGX0-kHA/edit?usp=sharing"",""แผน!FY51"")"),1170)</f>
        <v>1170</v>
      </c>
      <c r="J483" s="992">
        <v>1170</v>
      </c>
      <c r="K483" s="864">
        <f ca="1">IF(I483&gt;0,J483*100/I483,0)</f>
        <v>100</v>
      </c>
      <c r="L483" s="864"/>
      <c r="M483" s="864"/>
      <c r="N483" s="864"/>
      <c r="O483" s="864"/>
      <c r="P483" s="864"/>
      <c r="Q483" s="1277"/>
      <c r="R483" s="1277"/>
      <c r="S483" s="1277"/>
      <c r="T483" s="1277"/>
      <c r="U483" s="1277"/>
      <c r="V483" s="1277"/>
      <c r="W483" s="1277"/>
      <c r="X483" s="1277"/>
      <c r="Y483" s="1277"/>
      <c r="Z483" s="1277"/>
    </row>
    <row r="484" spans="1:26" ht="18.75">
      <c r="A484" s="1300"/>
      <c r="B484" s="1301"/>
      <c r="C484" s="1301"/>
      <c r="D484" s="1301"/>
      <c r="E484" s="1301"/>
      <c r="F484" s="1301" t="s">
        <v>209</v>
      </c>
      <c r="G484" s="987"/>
      <c r="H484" s="617" t="s">
        <v>35</v>
      </c>
      <c r="I484" s="863"/>
      <c r="J484" s="992">
        <v>117</v>
      </c>
      <c r="K484" s="864"/>
      <c r="L484" s="864"/>
      <c r="M484" s="864"/>
      <c r="N484" s="864"/>
      <c r="O484" s="864"/>
      <c r="P484" s="864"/>
      <c r="Q484" s="1277"/>
      <c r="R484" s="1277"/>
      <c r="S484" s="1277"/>
      <c r="T484" s="1277"/>
      <c r="U484" s="1277"/>
      <c r="V484" s="1277"/>
      <c r="W484" s="1277"/>
      <c r="X484" s="1277"/>
      <c r="Y484" s="1277"/>
      <c r="Z484" s="1277"/>
    </row>
    <row r="485" spans="1:26" ht="18.75">
      <c r="A485" s="1300"/>
      <c r="B485" s="1301"/>
      <c r="C485" s="1301"/>
      <c r="D485" s="1301"/>
      <c r="E485" s="1301"/>
      <c r="F485" s="1301" t="s">
        <v>210</v>
      </c>
      <c r="G485" s="987"/>
      <c r="H485" s="617" t="s">
        <v>35</v>
      </c>
      <c r="I485" s="863">
        <f ca="1">IFERROR(__xludf.DUMMYFUNCTION("IMPORTRANGE(""https://docs.google.com/spreadsheets/d/1QqKyyYR6Q21VydFLVH3TRQUabQu_ym0Zz7PgGX0-kHA/edit?usp=sharing"",""แผน!FZ51"")"),117)</f>
        <v>117</v>
      </c>
      <c r="J485" s="992">
        <v>117</v>
      </c>
      <c r="K485" s="864">
        <f ca="1">IF(I485&gt;0,J485*100/I485,0)</f>
        <v>100</v>
      </c>
      <c r="L485" s="864"/>
      <c r="M485" s="864"/>
      <c r="N485" s="864"/>
      <c r="O485" s="864"/>
      <c r="P485" s="864"/>
      <c r="Q485" s="1277"/>
      <c r="R485" s="1277"/>
      <c r="S485" s="1277"/>
      <c r="T485" s="1277"/>
      <c r="U485" s="1277"/>
      <c r="V485" s="1277"/>
      <c r="W485" s="1277"/>
      <c r="X485" s="1277"/>
      <c r="Y485" s="1277"/>
      <c r="Z485" s="1277"/>
    </row>
    <row r="486" spans="1:26" ht="18.75">
      <c r="A486" s="1300"/>
      <c r="B486" s="1301"/>
      <c r="C486" s="1301"/>
      <c r="D486" s="1301"/>
      <c r="E486" s="1301" t="s">
        <v>62</v>
      </c>
      <c r="F486" s="1301"/>
      <c r="G486" s="987"/>
      <c r="H486" s="617"/>
      <c r="I486" s="863"/>
      <c r="J486" s="863"/>
      <c r="K486" s="864"/>
      <c r="L486" s="864"/>
      <c r="M486" s="864"/>
      <c r="N486" s="864"/>
      <c r="O486" s="864"/>
      <c r="P486" s="864"/>
      <c r="Q486" s="1277"/>
      <c r="R486" s="1277"/>
      <c r="S486" s="1277"/>
      <c r="T486" s="1277"/>
      <c r="U486" s="1277"/>
      <c r="V486" s="1277"/>
      <c r="W486" s="1277"/>
      <c r="X486" s="1277"/>
      <c r="Y486" s="1277"/>
      <c r="Z486" s="1277"/>
    </row>
    <row r="487" spans="1:26" ht="18.75">
      <c r="A487" s="1300"/>
      <c r="B487" s="1301"/>
      <c r="C487" s="1301"/>
      <c r="D487" s="1301"/>
      <c r="E487" s="1301"/>
      <c r="F487" s="1301" t="s">
        <v>208</v>
      </c>
      <c r="G487" s="987"/>
      <c r="H487" s="617" t="s">
        <v>46</v>
      </c>
      <c r="I487" s="863">
        <f ca="1">IFERROR(__xludf.DUMMYFUNCTION("IMPORTRANGE(""https://docs.google.com/spreadsheets/d/1QqKyyYR6Q21VydFLVH3TRQUabQu_ym0Zz7PgGX0-kHA/edit?usp=sharing"",""แผน!GA51"")"),130)</f>
        <v>130</v>
      </c>
      <c r="J487" s="992">
        <v>130</v>
      </c>
      <c r="K487" s="864">
        <f ca="1">IF(I487&gt;0,J487*100/I487,0)</f>
        <v>100</v>
      </c>
      <c r="L487" s="864"/>
      <c r="M487" s="864"/>
      <c r="N487" s="864"/>
      <c r="O487" s="864"/>
      <c r="P487" s="864"/>
      <c r="Q487" s="1277"/>
      <c r="R487" s="1277"/>
      <c r="S487" s="1277"/>
      <c r="T487" s="1277"/>
      <c r="U487" s="1277"/>
      <c r="V487" s="1277"/>
      <c r="W487" s="1277"/>
      <c r="X487" s="1277"/>
      <c r="Y487" s="1277"/>
      <c r="Z487" s="1277"/>
    </row>
    <row r="488" spans="1:26" ht="18.75">
      <c r="A488" s="1300"/>
      <c r="B488" s="1301"/>
      <c r="C488" s="1301"/>
      <c r="D488" s="1301"/>
      <c r="E488" s="1301"/>
      <c r="F488" s="1301" t="s">
        <v>211</v>
      </c>
      <c r="G488" s="987"/>
      <c r="H488" s="617" t="s">
        <v>35</v>
      </c>
      <c r="I488" s="863"/>
      <c r="J488" s="992">
        <v>13</v>
      </c>
      <c r="K488" s="864"/>
      <c r="L488" s="864"/>
      <c r="M488" s="864"/>
      <c r="N488" s="864"/>
      <c r="O488" s="864"/>
      <c r="P488" s="864"/>
      <c r="Q488" s="1277"/>
      <c r="R488" s="1277"/>
      <c r="S488" s="1277"/>
      <c r="T488" s="1277"/>
      <c r="U488" s="1277"/>
      <c r="V488" s="1277"/>
      <c r="W488" s="1277"/>
      <c r="X488" s="1277"/>
      <c r="Y488" s="1277"/>
      <c r="Z488" s="1277"/>
    </row>
    <row r="489" spans="1:26" ht="18.75">
      <c r="A489" s="1300"/>
      <c r="B489" s="1301"/>
      <c r="C489" s="1301"/>
      <c r="D489" s="1301"/>
      <c r="E489" s="1301"/>
      <c r="F489" s="1301" t="s">
        <v>212</v>
      </c>
      <c r="G489" s="987"/>
      <c r="H489" s="617" t="s">
        <v>35</v>
      </c>
      <c r="I489" s="863">
        <f ca="1">IFERROR(__xludf.DUMMYFUNCTION("IMPORTRANGE(""https://docs.google.com/spreadsheets/d/1QqKyyYR6Q21VydFLVH3TRQUabQu_ym0Zz7PgGX0-kHA/edit?usp=sharing"",""แผน!GB51"")"),13)</f>
        <v>13</v>
      </c>
      <c r="J489" s="992">
        <v>13</v>
      </c>
      <c r="K489" s="864">
        <f ca="1">IF(I489&gt;0,J489*100/I489,0)</f>
        <v>100</v>
      </c>
      <c r="L489" s="864"/>
      <c r="M489" s="864"/>
      <c r="N489" s="864"/>
      <c r="O489" s="864"/>
      <c r="P489" s="864"/>
      <c r="Q489" s="1277"/>
      <c r="R489" s="1277"/>
      <c r="S489" s="1277"/>
      <c r="T489" s="1277"/>
      <c r="U489" s="1277"/>
      <c r="V489" s="1277"/>
      <c r="W489" s="1277"/>
      <c r="X489" s="1277"/>
      <c r="Y489" s="1277"/>
      <c r="Z489" s="1277"/>
    </row>
    <row r="490" spans="1:26" ht="18.75">
      <c r="A490" s="1300"/>
      <c r="B490" s="1301"/>
      <c r="C490" s="1301"/>
      <c r="D490" s="1301"/>
      <c r="E490" s="1301" t="s">
        <v>63</v>
      </c>
      <c r="F490" s="994"/>
      <c r="G490" s="987"/>
      <c r="H490" s="617"/>
      <c r="I490" s="863"/>
      <c r="J490" s="863"/>
      <c r="K490" s="864"/>
      <c r="L490" s="864"/>
      <c r="M490" s="864"/>
      <c r="N490" s="864"/>
      <c r="O490" s="864"/>
      <c r="P490" s="864"/>
      <c r="Q490" s="1277"/>
      <c r="R490" s="1277"/>
      <c r="S490" s="1277"/>
      <c r="T490" s="1277"/>
      <c r="U490" s="1277"/>
      <c r="V490" s="1277"/>
      <c r="W490" s="1277"/>
      <c r="X490" s="1277"/>
      <c r="Y490" s="1277"/>
      <c r="Z490" s="1277"/>
    </row>
    <row r="491" spans="1:26" ht="18.75">
      <c r="A491" s="1300"/>
      <c r="B491" s="1301"/>
      <c r="C491" s="1301"/>
      <c r="D491" s="1301"/>
      <c r="E491" s="1301"/>
      <c r="F491" s="1301" t="s">
        <v>213</v>
      </c>
      <c r="G491" s="987"/>
      <c r="H491" s="617" t="s">
        <v>35</v>
      </c>
      <c r="I491" s="863"/>
      <c r="J491" s="992">
        <v>1</v>
      </c>
      <c r="K491" s="864"/>
      <c r="L491" s="864"/>
      <c r="M491" s="864"/>
      <c r="N491" s="864"/>
      <c r="O491" s="864"/>
      <c r="P491" s="864"/>
      <c r="Q491" s="1277"/>
      <c r="R491" s="1277"/>
      <c r="S491" s="1277"/>
      <c r="T491" s="1277"/>
      <c r="U491" s="1277"/>
      <c r="V491" s="1277"/>
      <c r="W491" s="1277"/>
      <c r="X491" s="1277"/>
      <c r="Y491" s="1277"/>
      <c r="Z491" s="1277"/>
    </row>
    <row r="492" spans="1:26" ht="18.75">
      <c r="A492" s="1300"/>
      <c r="B492" s="1301"/>
      <c r="C492" s="1301"/>
      <c r="D492" s="1301"/>
      <c r="E492" s="1301"/>
      <c r="F492" s="1301" t="s">
        <v>214</v>
      </c>
      <c r="G492" s="987"/>
      <c r="H492" s="617" t="s">
        <v>35</v>
      </c>
      <c r="I492" s="863">
        <f ca="1">IFERROR(__xludf.DUMMYFUNCTION("IMPORTRANGE(""https://docs.google.com/spreadsheets/d/1QqKyyYR6Q21VydFLVH3TRQUabQu_ym0Zz7PgGX0-kHA/edit?usp=sharing"",""แผน!GC51"")"),1)</f>
        <v>1</v>
      </c>
      <c r="J492" s="992">
        <v>1</v>
      </c>
      <c r="K492" s="864">
        <f ca="1">IF(I492&gt;0,J492*100/I492,0)</f>
        <v>100</v>
      </c>
      <c r="L492" s="864"/>
      <c r="M492" s="864"/>
      <c r="N492" s="864"/>
      <c r="O492" s="864"/>
      <c r="P492" s="864"/>
      <c r="Q492" s="1277"/>
      <c r="R492" s="1277"/>
      <c r="S492" s="1277"/>
      <c r="T492" s="1277"/>
      <c r="U492" s="1277"/>
      <c r="V492" s="1277"/>
      <c r="W492" s="1277"/>
      <c r="X492" s="1277"/>
      <c r="Y492" s="1277"/>
      <c r="Z492" s="1277"/>
    </row>
    <row r="493" spans="1:26" ht="19.5">
      <c r="A493" s="1300"/>
      <c r="B493" s="1301"/>
      <c r="C493" s="1301"/>
      <c r="D493" s="1310" t="s">
        <v>59</v>
      </c>
      <c r="E493" s="1301"/>
      <c r="F493" s="994"/>
      <c r="G493" s="987"/>
      <c r="H493" s="996"/>
      <c r="I493" s="863"/>
      <c r="J493" s="863"/>
      <c r="K493" s="864"/>
      <c r="L493" s="864"/>
      <c r="M493" s="864"/>
      <c r="N493" s="864"/>
      <c r="O493" s="864"/>
      <c r="P493" s="864"/>
      <c r="Q493" s="1277"/>
      <c r="R493" s="1277"/>
      <c r="S493" s="1277"/>
      <c r="T493" s="1277"/>
      <c r="U493" s="1277"/>
      <c r="V493" s="1277"/>
      <c r="W493" s="1277"/>
      <c r="X493" s="1277"/>
      <c r="Y493" s="1277"/>
      <c r="Z493" s="1277"/>
    </row>
    <row r="494" spans="1:26" ht="18.75">
      <c r="A494" s="1300"/>
      <c r="B494" s="1301"/>
      <c r="C494" s="1301"/>
      <c r="D494" s="1301"/>
      <c r="E494" s="1301" t="s">
        <v>207</v>
      </c>
      <c r="F494" s="994"/>
      <c r="G494" s="987"/>
      <c r="H494" s="996"/>
      <c r="I494" s="863"/>
      <c r="J494" s="863"/>
      <c r="K494" s="864"/>
      <c r="L494" s="864"/>
      <c r="M494" s="864"/>
      <c r="N494" s="864"/>
      <c r="O494" s="864"/>
      <c r="P494" s="864"/>
      <c r="Q494" s="1277"/>
      <c r="R494" s="1277"/>
      <c r="S494" s="1277"/>
      <c r="T494" s="1277"/>
      <c r="U494" s="1277"/>
      <c r="V494" s="1277"/>
      <c r="W494" s="1277"/>
      <c r="X494" s="1277"/>
      <c r="Y494" s="1277"/>
      <c r="Z494" s="1277"/>
    </row>
    <row r="495" spans="1:26" ht="18.75">
      <c r="A495" s="1300"/>
      <c r="B495" s="1301"/>
      <c r="C495" s="1301"/>
      <c r="D495" s="1301"/>
      <c r="E495" s="1301"/>
      <c r="F495" s="994" t="s">
        <v>215</v>
      </c>
      <c r="G495" s="987"/>
      <c r="H495" s="617" t="s">
        <v>46</v>
      </c>
      <c r="I495" s="863">
        <f ca="1">IFERROR(__xludf.DUMMYFUNCTION("IMPORTRANGE(""https://docs.google.com/spreadsheets/d/1QqKyyYR6Q21VydFLVH3TRQUabQu_ym0Zz7PgGX0-kHA/edit?usp=sharing"",""แผน!FY51"")"),1170)</f>
        <v>1170</v>
      </c>
      <c r="J495" s="992">
        <v>0</v>
      </c>
      <c r="K495" s="864">
        <f ca="1">IF(I495&gt;0,J495*100/I495,0)</f>
        <v>0</v>
      </c>
      <c r="L495" s="864"/>
      <c r="M495" s="864"/>
      <c r="N495" s="864"/>
      <c r="O495" s="864"/>
      <c r="P495" s="864"/>
      <c r="Q495" s="1277"/>
      <c r="R495" s="1277"/>
      <c r="S495" s="1277"/>
      <c r="T495" s="1277"/>
      <c r="U495" s="1277"/>
      <c r="V495" s="1277"/>
      <c r="W495" s="1277"/>
      <c r="X495" s="1277"/>
      <c r="Y495" s="1277"/>
      <c r="Z495" s="1277"/>
    </row>
    <row r="496" spans="1:26" ht="18.75">
      <c r="A496" s="1300"/>
      <c r="B496" s="1301"/>
      <c r="C496" s="1301"/>
      <c r="D496" s="1301"/>
      <c r="E496" s="1301"/>
      <c r="F496" s="994" t="s">
        <v>216</v>
      </c>
      <c r="G496" s="987"/>
      <c r="H496" s="617" t="s">
        <v>46</v>
      </c>
      <c r="I496" s="863"/>
      <c r="J496" s="992">
        <v>0</v>
      </c>
      <c r="K496" s="864"/>
      <c r="L496" s="864"/>
      <c r="M496" s="864"/>
      <c r="N496" s="864"/>
      <c r="O496" s="864"/>
      <c r="P496" s="864"/>
      <c r="Q496" s="1277"/>
      <c r="R496" s="1277"/>
      <c r="S496" s="1277"/>
      <c r="T496" s="1277"/>
      <c r="U496" s="1277"/>
      <c r="V496" s="1277"/>
      <c r="W496" s="1277"/>
      <c r="X496" s="1277"/>
      <c r="Y496" s="1277"/>
      <c r="Z496" s="1277"/>
    </row>
    <row r="497" spans="1:26" ht="18.75">
      <c r="A497" s="1300"/>
      <c r="B497" s="1301"/>
      <c r="C497" s="1301"/>
      <c r="D497" s="1301"/>
      <c r="E497" s="1301" t="s">
        <v>62</v>
      </c>
      <c r="F497" s="994"/>
      <c r="G497" s="987"/>
      <c r="H497" s="996"/>
      <c r="I497" s="863"/>
      <c r="J497" s="863"/>
      <c r="K497" s="864"/>
      <c r="L497" s="864"/>
      <c r="M497" s="864"/>
      <c r="N497" s="864"/>
      <c r="O497" s="864"/>
      <c r="P497" s="864"/>
      <c r="Q497" s="1277"/>
      <c r="R497" s="1277"/>
      <c r="S497" s="1277"/>
      <c r="T497" s="1277"/>
      <c r="U497" s="1277"/>
      <c r="V497" s="1277"/>
      <c r="W497" s="1277"/>
      <c r="X497" s="1277"/>
      <c r="Y497" s="1277"/>
      <c r="Z497" s="1277"/>
    </row>
    <row r="498" spans="1:26" ht="18.75">
      <c r="A498" s="1300"/>
      <c r="B498" s="1301"/>
      <c r="C498" s="1301"/>
      <c r="D498" s="1301"/>
      <c r="E498" s="994"/>
      <c r="F498" s="994" t="s">
        <v>217</v>
      </c>
      <c r="G498" s="987"/>
      <c r="H498" s="617" t="s">
        <v>46</v>
      </c>
      <c r="I498" s="863">
        <f ca="1">IFERROR(__xludf.DUMMYFUNCTION("IMPORTRANGE(""https://docs.google.com/spreadsheets/d/1QqKyyYR6Q21VydFLVH3TRQUabQu_ym0Zz7PgGX0-kHA/edit?usp=sharing"",""แผน!GA51"")"),130)</f>
        <v>130</v>
      </c>
      <c r="J498" s="992">
        <v>0</v>
      </c>
      <c r="K498" s="864">
        <f ca="1">IF(I498&gt;0,J498*100/I498,0)</f>
        <v>0</v>
      </c>
      <c r="L498" s="864"/>
      <c r="M498" s="864"/>
      <c r="N498" s="864"/>
      <c r="O498" s="864"/>
      <c r="P498" s="864"/>
      <c r="Q498" s="1277"/>
      <c r="R498" s="1277"/>
      <c r="S498" s="1277"/>
      <c r="T498" s="1277"/>
      <c r="U498" s="1277"/>
      <c r="V498" s="1277"/>
      <c r="W498" s="1277"/>
      <c r="X498" s="1277"/>
      <c r="Y498" s="1277"/>
      <c r="Z498" s="1277"/>
    </row>
    <row r="499" spans="1:26" ht="18.75">
      <c r="A499" s="1300"/>
      <c r="B499" s="1301"/>
      <c r="C499" s="1301"/>
      <c r="D499" s="1301"/>
      <c r="E499" s="994"/>
      <c r="F499" s="994" t="s">
        <v>218</v>
      </c>
      <c r="G499" s="987"/>
      <c r="H499" s="617" t="s">
        <v>46</v>
      </c>
      <c r="I499" s="863"/>
      <c r="J499" s="992">
        <v>0</v>
      </c>
      <c r="K499" s="864"/>
      <c r="L499" s="864"/>
      <c r="M499" s="864"/>
      <c r="N499" s="864"/>
      <c r="O499" s="864"/>
      <c r="P499" s="864"/>
      <c r="Q499" s="1277"/>
      <c r="R499" s="1277"/>
      <c r="S499" s="1277"/>
      <c r="T499" s="1277"/>
      <c r="U499" s="1277"/>
      <c r="V499" s="1277"/>
      <c r="W499" s="1277"/>
      <c r="X499" s="1277"/>
      <c r="Y499" s="1277"/>
      <c r="Z499" s="1277"/>
    </row>
    <row r="500" spans="1:26" ht="19.5" hidden="1">
      <c r="A500" s="621">
        <v>4</v>
      </c>
      <c r="B500" s="1311" t="s">
        <v>219</v>
      </c>
      <c r="C500" s="1312"/>
      <c r="D500" s="1313"/>
      <c r="E500" s="1313"/>
      <c r="F500" s="1313"/>
      <c r="G500" s="1314"/>
      <c r="H500" s="626" t="s">
        <v>109</v>
      </c>
      <c r="I500" s="1315"/>
      <c r="J500" s="1315">
        <f t="shared" ref="J500:J501" si="214">J516</f>
        <v>0</v>
      </c>
      <c r="K500" s="1316">
        <f t="shared" ref="K500:K501" si="215">IF(I500&gt;0,J500*100/I500,0)</f>
        <v>0</v>
      </c>
      <c r="L500" s="1317"/>
      <c r="M500" s="1317"/>
      <c r="N500" s="1317"/>
      <c r="O500" s="1317"/>
      <c r="P500" s="1317"/>
      <c r="Q500" s="1297"/>
      <c r="R500" s="1297"/>
      <c r="S500" s="1297"/>
      <c r="T500" s="1297"/>
      <c r="U500" s="1297"/>
      <c r="V500" s="1297"/>
      <c r="W500" s="1297"/>
      <c r="X500" s="1297"/>
      <c r="Y500" s="1297"/>
      <c r="Z500" s="1297"/>
    </row>
    <row r="501" spans="1:26" ht="19.5" hidden="1">
      <c r="A501" s="1318"/>
      <c r="B501" s="1319" t="s">
        <v>220</v>
      </c>
      <c r="C501" s="1319"/>
      <c r="D501" s="1320"/>
      <c r="E501" s="1320"/>
      <c r="F501" s="1320"/>
      <c r="G501" s="1321"/>
      <c r="H501" s="635" t="s">
        <v>35</v>
      </c>
      <c r="I501" s="1322"/>
      <c r="J501" s="1322">
        <f t="shared" si="214"/>
        <v>0</v>
      </c>
      <c r="K501" s="1323">
        <f t="shared" si="215"/>
        <v>0</v>
      </c>
      <c r="L501" s="1324"/>
      <c r="M501" s="1324"/>
      <c r="N501" s="1324"/>
      <c r="O501" s="1324"/>
      <c r="P501" s="1324"/>
      <c r="Q501" s="1297"/>
      <c r="R501" s="1297"/>
      <c r="S501" s="1297"/>
      <c r="T501" s="1297"/>
      <c r="U501" s="1297"/>
      <c r="V501" s="1297"/>
      <c r="W501" s="1297"/>
      <c r="X501" s="1297"/>
      <c r="Y501" s="1297"/>
      <c r="Z501" s="1297"/>
    </row>
    <row r="502" spans="1:26" ht="19.5" hidden="1">
      <c r="A502" s="1293"/>
      <c r="B502" s="1294"/>
      <c r="C502" s="1294" t="s">
        <v>16</v>
      </c>
      <c r="D502" s="1556" t="s">
        <v>17</v>
      </c>
      <c r="E502" s="1533"/>
      <c r="F502" s="1533"/>
      <c r="G502" s="1296"/>
      <c r="H502" s="639" t="s">
        <v>12</v>
      </c>
      <c r="I502" s="869"/>
      <c r="J502" s="869"/>
      <c r="K502" s="870"/>
      <c r="L502" s="1325">
        <f t="shared" ref="L502:N502" si="216">L503+L504</f>
        <v>0</v>
      </c>
      <c r="M502" s="1325">
        <f t="shared" si="216"/>
        <v>0</v>
      </c>
      <c r="N502" s="1325">
        <f t="shared" si="216"/>
        <v>0</v>
      </c>
      <c r="O502" s="1325">
        <f t="shared" ref="O502:O507" si="217">IF(L502&gt;0,N502*100/L502,0)</f>
        <v>0</v>
      </c>
      <c r="P502" s="1325">
        <f t="shared" ref="P502:P507" si="218">IF(M502&gt;0,N502*100/M502,0)</f>
        <v>0</v>
      </c>
      <c r="Q502" s="1297"/>
      <c r="R502" s="1297"/>
      <c r="S502" s="1297"/>
      <c r="T502" s="1297"/>
      <c r="U502" s="1297"/>
      <c r="V502" s="1297"/>
      <c r="W502" s="1297"/>
      <c r="X502" s="1297"/>
      <c r="Y502" s="1297"/>
      <c r="Z502" s="1297"/>
    </row>
    <row r="503" spans="1:26" ht="18.75" hidden="1">
      <c r="A503" s="1293"/>
      <c r="B503" s="1294"/>
      <c r="C503" s="1294"/>
      <c r="D503" s="1295"/>
      <c r="E503" s="1294" t="s">
        <v>184</v>
      </c>
      <c r="F503" s="1294"/>
      <c r="G503" s="1296"/>
      <c r="H503" s="165" t="s">
        <v>12</v>
      </c>
      <c r="I503" s="869"/>
      <c r="J503" s="869"/>
      <c r="K503" s="870"/>
      <c r="L503" s="870">
        <f t="shared" ref="L503:N504" si="219">L506+L513</f>
        <v>0</v>
      </c>
      <c r="M503" s="870">
        <f t="shared" si="219"/>
        <v>0</v>
      </c>
      <c r="N503" s="870">
        <f t="shared" si="219"/>
        <v>0</v>
      </c>
      <c r="O503" s="870">
        <f t="shared" si="217"/>
        <v>0</v>
      </c>
      <c r="P503" s="870">
        <f t="shared" si="218"/>
        <v>0</v>
      </c>
      <c r="Q503" s="1297"/>
      <c r="R503" s="1297"/>
      <c r="S503" s="1297"/>
      <c r="T503" s="1297"/>
      <c r="U503" s="1297"/>
      <c r="V503" s="1297"/>
      <c r="W503" s="1297"/>
      <c r="X503" s="1297"/>
      <c r="Y503" s="1297"/>
      <c r="Z503" s="1297"/>
    </row>
    <row r="504" spans="1:26" ht="18.75" hidden="1">
      <c r="A504" s="1293"/>
      <c r="B504" s="1298"/>
      <c r="C504" s="1294"/>
      <c r="D504" s="1295"/>
      <c r="E504" s="1294" t="s">
        <v>185</v>
      </c>
      <c r="F504" s="1294"/>
      <c r="G504" s="1296"/>
      <c r="H504" s="165" t="s">
        <v>12</v>
      </c>
      <c r="I504" s="869"/>
      <c r="J504" s="869"/>
      <c r="K504" s="870"/>
      <c r="L504" s="870">
        <f t="shared" si="219"/>
        <v>0</v>
      </c>
      <c r="M504" s="870">
        <f t="shared" si="219"/>
        <v>0</v>
      </c>
      <c r="N504" s="870">
        <f t="shared" si="219"/>
        <v>0</v>
      </c>
      <c r="O504" s="870">
        <f t="shared" si="217"/>
        <v>0</v>
      </c>
      <c r="P504" s="870">
        <f t="shared" si="218"/>
        <v>0</v>
      </c>
      <c r="Q504" s="1297"/>
      <c r="R504" s="1297"/>
      <c r="S504" s="1297"/>
      <c r="T504" s="1297"/>
      <c r="U504" s="1297"/>
      <c r="V504" s="1297"/>
      <c r="W504" s="1297"/>
      <c r="X504" s="1297"/>
      <c r="Y504" s="1297"/>
      <c r="Z504" s="1297"/>
    </row>
    <row r="505" spans="1:26" ht="18.75" hidden="1">
      <c r="A505" s="1293"/>
      <c r="B505" s="1298"/>
      <c r="C505" s="1294"/>
      <c r="D505" s="1326" t="s">
        <v>20</v>
      </c>
      <c r="E505" s="1294"/>
      <c r="F505" s="1294"/>
      <c r="G505" s="1296"/>
      <c r="H505" s="165" t="s">
        <v>12</v>
      </c>
      <c r="I505" s="980"/>
      <c r="J505" s="980"/>
      <c r="K505" s="981"/>
      <c r="L505" s="870">
        <f t="shared" ref="L505:N505" si="220">L506+L507</f>
        <v>0</v>
      </c>
      <c r="M505" s="870">
        <f t="shared" si="220"/>
        <v>0</v>
      </c>
      <c r="N505" s="870">
        <f t="shared" si="220"/>
        <v>0</v>
      </c>
      <c r="O505" s="870">
        <f t="shared" si="217"/>
        <v>0</v>
      </c>
      <c r="P505" s="870">
        <f t="shared" si="218"/>
        <v>0</v>
      </c>
      <c r="Q505" s="1297"/>
      <c r="R505" s="1297"/>
      <c r="S505" s="1297"/>
      <c r="T505" s="1297"/>
      <c r="U505" s="1297"/>
      <c r="V505" s="1297"/>
      <c r="W505" s="1297"/>
      <c r="X505" s="1297"/>
      <c r="Y505" s="1297"/>
      <c r="Z505" s="1297"/>
    </row>
    <row r="506" spans="1:26" ht="18.75" hidden="1">
      <c r="A506" s="1293"/>
      <c r="B506" s="1298"/>
      <c r="C506" s="1294"/>
      <c r="D506" s="1295"/>
      <c r="E506" s="1294" t="s">
        <v>184</v>
      </c>
      <c r="F506" s="1294"/>
      <c r="G506" s="1296"/>
      <c r="H506" s="165" t="s">
        <v>12</v>
      </c>
      <c r="I506" s="869"/>
      <c r="J506" s="869"/>
      <c r="K506" s="870"/>
      <c r="L506" s="870">
        <v>0</v>
      </c>
      <c r="M506" s="870">
        <v>0</v>
      </c>
      <c r="N506" s="870">
        <v>0</v>
      </c>
      <c r="O506" s="870">
        <f t="shared" si="217"/>
        <v>0</v>
      </c>
      <c r="P506" s="870">
        <f t="shared" si="218"/>
        <v>0</v>
      </c>
      <c r="Q506" s="1297"/>
      <c r="R506" s="1297"/>
      <c r="S506" s="1297"/>
      <c r="T506" s="1297"/>
      <c r="U506" s="1297"/>
      <c r="V506" s="1297"/>
      <c r="W506" s="1297"/>
      <c r="X506" s="1297"/>
      <c r="Y506" s="1297"/>
      <c r="Z506" s="1297"/>
    </row>
    <row r="507" spans="1:26" ht="18.75" hidden="1">
      <c r="A507" s="1293"/>
      <c r="B507" s="1298"/>
      <c r="C507" s="1294"/>
      <c r="D507" s="1295"/>
      <c r="E507" s="1294" t="s">
        <v>185</v>
      </c>
      <c r="F507" s="1294"/>
      <c r="G507" s="1296"/>
      <c r="H507" s="165" t="s">
        <v>12</v>
      </c>
      <c r="I507" s="869"/>
      <c r="J507" s="869"/>
      <c r="K507" s="870"/>
      <c r="L507" s="870">
        <v>0</v>
      </c>
      <c r="M507" s="870">
        <v>0</v>
      </c>
      <c r="N507" s="870">
        <f>N508+N509+N510+N511</f>
        <v>0</v>
      </c>
      <c r="O507" s="870">
        <f t="shared" si="217"/>
        <v>0</v>
      </c>
      <c r="P507" s="870">
        <f t="shared" si="218"/>
        <v>0</v>
      </c>
      <c r="Q507" s="1297"/>
      <c r="R507" s="1297"/>
      <c r="S507" s="1297"/>
      <c r="T507" s="1297"/>
      <c r="U507" s="1297"/>
      <c r="V507" s="1297"/>
      <c r="W507" s="1297"/>
      <c r="X507" s="1297"/>
      <c r="Y507" s="1297"/>
      <c r="Z507" s="1297"/>
    </row>
    <row r="508" spans="1:26" ht="18.75" hidden="1">
      <c r="A508" s="1327"/>
      <c r="B508" s="1298"/>
      <c r="C508" s="1294"/>
      <c r="D508" s="1294"/>
      <c r="E508" s="1294"/>
      <c r="F508" s="1294" t="s">
        <v>186</v>
      </c>
      <c r="G508" s="1296"/>
      <c r="H508" s="165" t="s">
        <v>12</v>
      </c>
      <c r="I508" s="869"/>
      <c r="J508" s="869"/>
      <c r="K508" s="870"/>
      <c r="L508" s="870"/>
      <c r="M508" s="870"/>
      <c r="N508" s="870">
        <v>0</v>
      </c>
      <c r="O508" s="870"/>
      <c r="P508" s="870"/>
      <c r="Q508" s="1297"/>
      <c r="R508" s="1297"/>
      <c r="S508" s="1297"/>
      <c r="T508" s="1297"/>
      <c r="U508" s="1297"/>
      <c r="V508" s="1297"/>
      <c r="W508" s="1297"/>
      <c r="X508" s="1297"/>
      <c r="Y508" s="1297"/>
      <c r="Z508" s="1297"/>
    </row>
    <row r="509" spans="1:26" ht="18.75" hidden="1">
      <c r="A509" s="1327"/>
      <c r="B509" s="1298"/>
      <c r="C509" s="1294"/>
      <c r="D509" s="1294"/>
      <c r="E509" s="1294"/>
      <c r="F509" s="1294" t="s">
        <v>187</v>
      </c>
      <c r="G509" s="1296"/>
      <c r="H509" s="165" t="s">
        <v>12</v>
      </c>
      <c r="I509" s="869"/>
      <c r="J509" s="869"/>
      <c r="K509" s="870"/>
      <c r="L509" s="870"/>
      <c r="M509" s="870"/>
      <c r="N509" s="870">
        <v>0</v>
      </c>
      <c r="O509" s="870"/>
      <c r="P509" s="870"/>
      <c r="Q509" s="1297"/>
      <c r="R509" s="1297"/>
      <c r="S509" s="1297"/>
      <c r="T509" s="1297"/>
      <c r="U509" s="1297"/>
      <c r="V509" s="1297"/>
      <c r="W509" s="1297"/>
      <c r="X509" s="1297"/>
      <c r="Y509" s="1297"/>
      <c r="Z509" s="1297"/>
    </row>
    <row r="510" spans="1:26" ht="18.75" hidden="1">
      <c r="A510" s="1327"/>
      <c r="B510" s="1298"/>
      <c r="C510" s="1298"/>
      <c r="D510" s="1298"/>
      <c r="E510" s="1294"/>
      <c r="F510" s="1294" t="s">
        <v>188</v>
      </c>
      <c r="G510" s="1296"/>
      <c r="H510" s="165" t="s">
        <v>12</v>
      </c>
      <c r="I510" s="869"/>
      <c r="J510" s="869"/>
      <c r="K510" s="870"/>
      <c r="L510" s="870"/>
      <c r="M510" s="870"/>
      <c r="N510" s="870">
        <v>0</v>
      </c>
      <c r="O510" s="870"/>
      <c r="P510" s="870"/>
      <c r="Q510" s="1297"/>
      <c r="R510" s="1297"/>
      <c r="S510" s="1297"/>
      <c r="T510" s="1297"/>
      <c r="U510" s="1297"/>
      <c r="V510" s="1297"/>
      <c r="W510" s="1297"/>
      <c r="X510" s="1297"/>
      <c r="Y510" s="1297"/>
      <c r="Z510" s="1297"/>
    </row>
    <row r="511" spans="1:26" ht="18.75" hidden="1">
      <c r="A511" s="1327"/>
      <c r="B511" s="1298"/>
      <c r="C511" s="1298"/>
      <c r="D511" s="1298"/>
      <c r="E511" s="1294"/>
      <c r="F511" s="1294" t="s">
        <v>189</v>
      </c>
      <c r="G511" s="1296"/>
      <c r="H511" s="165" t="s">
        <v>12</v>
      </c>
      <c r="I511" s="869"/>
      <c r="J511" s="869"/>
      <c r="K511" s="870"/>
      <c r="L511" s="870"/>
      <c r="M511" s="870"/>
      <c r="N511" s="870">
        <v>0</v>
      </c>
      <c r="O511" s="870"/>
      <c r="P511" s="870"/>
      <c r="Q511" s="1297"/>
      <c r="R511" s="1297"/>
      <c r="S511" s="1297"/>
      <c r="T511" s="1297"/>
      <c r="U511" s="1297"/>
      <c r="V511" s="1297"/>
      <c r="W511" s="1297"/>
      <c r="X511" s="1297"/>
      <c r="Y511" s="1297"/>
      <c r="Z511" s="1297"/>
    </row>
    <row r="512" spans="1:26" ht="18.75" hidden="1">
      <c r="A512" s="1293"/>
      <c r="B512" s="1298"/>
      <c r="C512" s="1298"/>
      <c r="D512" s="1326" t="s">
        <v>21</v>
      </c>
      <c r="E512" s="1298"/>
      <c r="F512" s="1294"/>
      <c r="G512" s="1296"/>
      <c r="H512" s="169" t="s">
        <v>12</v>
      </c>
      <c r="I512" s="980"/>
      <c r="J512" s="980"/>
      <c r="K512" s="981"/>
      <c r="L512" s="870">
        <f t="shared" ref="L512:N512" si="221">L513+L514</f>
        <v>0</v>
      </c>
      <c r="M512" s="870">
        <f t="shared" si="221"/>
        <v>0</v>
      </c>
      <c r="N512" s="870">
        <f t="shared" si="221"/>
        <v>0</v>
      </c>
      <c r="O512" s="870">
        <f t="shared" ref="O512:O514" si="222">IF(L512&gt;0,N512*100/L512,0)</f>
        <v>0</v>
      </c>
      <c r="P512" s="870">
        <f t="shared" ref="P512:P514" si="223">IF(M512&gt;0,N512*100/M512,0)</f>
        <v>0</v>
      </c>
      <c r="Q512" s="1297"/>
      <c r="R512" s="1297"/>
      <c r="S512" s="1297"/>
      <c r="T512" s="1297"/>
      <c r="U512" s="1297"/>
      <c r="V512" s="1297"/>
      <c r="W512" s="1297"/>
      <c r="X512" s="1297"/>
      <c r="Y512" s="1297"/>
      <c r="Z512" s="1297"/>
    </row>
    <row r="513" spans="1:26" ht="18.75" hidden="1">
      <c r="A513" s="1293"/>
      <c r="B513" s="1298"/>
      <c r="C513" s="1298"/>
      <c r="D513" s="1298"/>
      <c r="E513" s="1298" t="s">
        <v>18</v>
      </c>
      <c r="F513" s="1294"/>
      <c r="G513" s="1296"/>
      <c r="H513" s="165" t="s">
        <v>12</v>
      </c>
      <c r="I513" s="980"/>
      <c r="J513" s="980"/>
      <c r="K513" s="981"/>
      <c r="L513" s="870">
        <v>0</v>
      </c>
      <c r="M513" s="870">
        <v>0</v>
      </c>
      <c r="N513" s="870">
        <v>0</v>
      </c>
      <c r="O513" s="870">
        <f t="shared" si="222"/>
        <v>0</v>
      </c>
      <c r="P513" s="870">
        <f t="shared" si="223"/>
        <v>0</v>
      </c>
      <c r="Q513" s="1297"/>
      <c r="R513" s="1297"/>
      <c r="S513" s="1297"/>
      <c r="T513" s="1297"/>
      <c r="U513" s="1297"/>
      <c r="V513" s="1297"/>
      <c r="W513" s="1297"/>
      <c r="X513" s="1297"/>
      <c r="Y513" s="1297"/>
      <c r="Z513" s="1297"/>
    </row>
    <row r="514" spans="1:26" ht="18.75" hidden="1">
      <c r="A514" s="1293"/>
      <c r="B514" s="1298"/>
      <c r="C514" s="1298"/>
      <c r="D514" s="1294"/>
      <c r="E514" s="1298" t="s">
        <v>19</v>
      </c>
      <c r="F514" s="1294"/>
      <c r="G514" s="1296"/>
      <c r="H514" s="169" t="s">
        <v>12</v>
      </c>
      <c r="I514" s="980"/>
      <c r="J514" s="980"/>
      <c r="K514" s="981"/>
      <c r="L514" s="870">
        <v>0</v>
      </c>
      <c r="M514" s="870">
        <v>0</v>
      </c>
      <c r="N514" s="870">
        <v>0</v>
      </c>
      <c r="O514" s="870">
        <f t="shared" si="222"/>
        <v>0</v>
      </c>
      <c r="P514" s="870">
        <f t="shared" si="223"/>
        <v>0</v>
      </c>
      <c r="Q514" s="1297"/>
      <c r="R514" s="1297"/>
      <c r="S514" s="1297"/>
      <c r="T514" s="1297"/>
      <c r="U514" s="1297"/>
      <c r="V514" s="1297"/>
      <c r="W514" s="1297"/>
      <c r="X514" s="1297"/>
      <c r="Y514" s="1297"/>
      <c r="Z514" s="1297"/>
    </row>
    <row r="515" spans="1:26" ht="19.5" hidden="1">
      <c r="A515" s="1306"/>
      <c r="B515" s="1307"/>
      <c r="C515" s="1298" t="s">
        <v>16</v>
      </c>
      <c r="D515" s="1328" t="s">
        <v>38</v>
      </c>
      <c r="E515" s="1329"/>
      <c r="F515" s="1329"/>
      <c r="G515" s="1330"/>
      <c r="H515" s="1092"/>
      <c r="I515" s="980"/>
      <c r="J515" s="980"/>
      <c r="K515" s="981"/>
      <c r="L515" s="981"/>
      <c r="M515" s="981"/>
      <c r="N515" s="981"/>
      <c r="O515" s="981"/>
      <c r="P515" s="981"/>
      <c r="Q515" s="1297"/>
      <c r="R515" s="1297"/>
      <c r="S515" s="1297"/>
      <c r="T515" s="1297"/>
      <c r="U515" s="1297"/>
      <c r="V515" s="1297"/>
      <c r="W515" s="1297"/>
      <c r="X515" s="1297"/>
      <c r="Y515" s="1297"/>
      <c r="Z515" s="1297"/>
    </row>
    <row r="516" spans="1:26" ht="18.75" hidden="1">
      <c r="A516" s="1306"/>
      <c r="B516" s="1307"/>
      <c r="C516" s="1307"/>
      <c r="D516" s="1307" t="s">
        <v>221</v>
      </c>
      <c r="E516" s="1295"/>
      <c r="F516" s="1295"/>
      <c r="G516" s="1092"/>
      <c r="H516" s="646" t="s">
        <v>109</v>
      </c>
      <c r="I516" s="869"/>
      <c r="J516" s="869">
        <v>0</v>
      </c>
      <c r="K516" s="981">
        <f t="shared" ref="K516:K517" si="224">IF(I516&gt;0,J516*100/I516,0)</f>
        <v>0</v>
      </c>
      <c r="L516" s="981"/>
      <c r="M516" s="981"/>
      <c r="N516" s="981"/>
      <c r="O516" s="981"/>
      <c r="P516" s="981"/>
      <c r="Q516" s="1297"/>
      <c r="R516" s="1297"/>
      <c r="S516" s="1297"/>
      <c r="T516" s="1297"/>
      <c r="U516" s="1297"/>
      <c r="V516" s="1297"/>
      <c r="W516" s="1297"/>
      <c r="X516" s="1297"/>
      <c r="Y516" s="1297"/>
      <c r="Z516" s="1297"/>
    </row>
    <row r="517" spans="1:26" ht="19.5" hidden="1">
      <c r="A517" s="1306"/>
      <c r="B517" s="1307"/>
      <c r="C517" s="1307"/>
      <c r="D517" s="1307" t="s">
        <v>222</v>
      </c>
      <c r="E517" s="1295"/>
      <c r="F517" s="1295"/>
      <c r="G517" s="1092"/>
      <c r="H517" s="647" t="s">
        <v>35</v>
      </c>
      <c r="I517" s="1331"/>
      <c r="J517" s="1331">
        <f>J518+J519</f>
        <v>0</v>
      </c>
      <c r="K517" s="1332">
        <f t="shared" si="224"/>
        <v>0</v>
      </c>
      <c r="L517" s="981"/>
      <c r="M517" s="981"/>
      <c r="N517" s="981"/>
      <c r="O517" s="981"/>
      <c r="P517" s="981"/>
      <c r="Q517" s="1297"/>
      <c r="R517" s="1297"/>
      <c r="S517" s="1297"/>
      <c r="T517" s="1297"/>
      <c r="U517" s="1297"/>
      <c r="V517" s="1297"/>
      <c r="W517" s="1297"/>
      <c r="X517" s="1297"/>
      <c r="Y517" s="1297"/>
      <c r="Z517" s="1297"/>
    </row>
    <row r="518" spans="1:26" ht="18.75" hidden="1">
      <c r="A518" s="1306"/>
      <c r="B518" s="1307"/>
      <c r="C518" s="1307"/>
      <c r="D518" s="1307"/>
      <c r="E518" s="1307" t="s">
        <v>223</v>
      </c>
      <c r="F518" s="1295"/>
      <c r="G518" s="1092"/>
      <c r="H518" s="370" t="s">
        <v>35</v>
      </c>
      <c r="I518" s="869"/>
      <c r="J518" s="869"/>
      <c r="K518" s="981"/>
      <c r="L518" s="981"/>
      <c r="M518" s="981"/>
      <c r="N518" s="981"/>
      <c r="O518" s="981"/>
      <c r="P518" s="981"/>
      <c r="Q518" s="1297"/>
      <c r="R518" s="1297"/>
      <c r="S518" s="1297"/>
      <c r="T518" s="1297"/>
      <c r="U518" s="1297"/>
      <c r="V518" s="1297"/>
      <c r="W518" s="1297"/>
      <c r="X518" s="1297"/>
      <c r="Y518" s="1297"/>
      <c r="Z518" s="1297"/>
    </row>
    <row r="519" spans="1:26" ht="18.75" hidden="1">
      <c r="A519" s="1306"/>
      <c r="B519" s="1307"/>
      <c r="C519" s="1307"/>
      <c r="D519" s="1307"/>
      <c r="E519" s="1307" t="s">
        <v>224</v>
      </c>
      <c r="F519" s="1295"/>
      <c r="G519" s="1092"/>
      <c r="H519" s="646" t="s">
        <v>35</v>
      </c>
      <c r="I519" s="869"/>
      <c r="J519" s="869"/>
      <c r="K519" s="981"/>
      <c r="L519" s="981"/>
      <c r="M519" s="981"/>
      <c r="N519" s="981"/>
      <c r="O519" s="981"/>
      <c r="P519" s="981"/>
      <c r="Q519" s="1297"/>
      <c r="R519" s="1297"/>
      <c r="S519" s="1297"/>
      <c r="T519" s="1297"/>
      <c r="U519" s="1297"/>
      <c r="V519" s="1297"/>
      <c r="W519" s="1297"/>
      <c r="X519" s="1297"/>
      <c r="Y519" s="1297"/>
      <c r="Z519" s="1297"/>
    </row>
    <row r="520" spans="1:26" ht="19.5" hidden="1">
      <c r="A520" s="1333" t="s">
        <v>137</v>
      </c>
      <c r="B520" s="1334"/>
      <c r="C520" s="1334"/>
      <c r="D520" s="1335"/>
      <c r="E520" s="1335"/>
      <c r="F520" s="1335"/>
      <c r="G520" s="1336"/>
      <c r="H520" s="1337"/>
      <c r="I520" s="1338"/>
      <c r="J520" s="1338"/>
      <c r="K520" s="1339"/>
      <c r="L520" s="1339"/>
      <c r="M520" s="1339"/>
      <c r="N520" s="1339"/>
      <c r="O520" s="1339"/>
      <c r="P520" s="1339"/>
    </row>
    <row r="521" spans="1:26" ht="19.5" hidden="1">
      <c r="A521" s="657">
        <v>5</v>
      </c>
      <c r="B521" s="1340" t="s">
        <v>225</v>
      </c>
      <c r="C521" s="1341"/>
      <c r="D521" s="1342"/>
      <c r="E521" s="1342"/>
      <c r="F521" s="1342"/>
      <c r="G521" s="1342"/>
      <c r="H521" s="1343"/>
      <c r="I521" s="1344"/>
      <c r="J521" s="1344"/>
      <c r="K521" s="1345"/>
      <c r="L521" s="1345"/>
      <c r="M521" s="1345"/>
      <c r="N521" s="1345"/>
      <c r="O521" s="1345"/>
      <c r="P521" s="1345"/>
      <c r="Q521" s="1277"/>
      <c r="R521" s="1277"/>
      <c r="S521" s="1277"/>
      <c r="T521" s="1277"/>
      <c r="U521" s="1277"/>
      <c r="V521" s="1277"/>
      <c r="W521" s="1277"/>
      <c r="X521" s="1277"/>
      <c r="Y521" s="1277"/>
      <c r="Z521" s="1277"/>
    </row>
    <row r="522" spans="1:26" ht="19.5" hidden="1">
      <c r="A522" s="1346"/>
      <c r="B522" s="1347" t="s">
        <v>226</v>
      </c>
      <c r="C522" s="1348"/>
      <c r="D522" s="1348"/>
      <c r="E522" s="1348"/>
      <c r="F522" s="1348"/>
      <c r="G522" s="1349"/>
      <c r="H522" s="668" t="s">
        <v>35</v>
      </c>
      <c r="I522" s="1350">
        <f t="shared" ref="I522:J522" ca="1" si="225">I537</f>
        <v>0</v>
      </c>
      <c r="J522" s="1350">
        <f t="shared" ca="1" si="225"/>
        <v>0</v>
      </c>
      <c r="K522" s="1351">
        <f ca="1">IF(I522&gt;0,J522*100/I522,0)</f>
        <v>0</v>
      </c>
      <c r="L522" s="1352"/>
      <c r="M522" s="1352"/>
      <c r="N522" s="1352"/>
      <c r="O522" s="1352"/>
      <c r="P522" s="1352"/>
      <c r="Q522" s="1277"/>
      <c r="R522" s="1277"/>
      <c r="S522" s="1277"/>
      <c r="T522" s="1277"/>
      <c r="U522" s="1277"/>
      <c r="V522" s="1277"/>
      <c r="W522" s="1277"/>
      <c r="X522" s="1277"/>
      <c r="Y522" s="1277"/>
      <c r="Z522" s="1277"/>
    </row>
    <row r="523" spans="1:26" ht="19.5" hidden="1">
      <c r="A523" s="1292"/>
      <c r="B523" s="1276"/>
      <c r="C523" s="1276" t="s">
        <v>16</v>
      </c>
      <c r="D523" s="1555" t="s">
        <v>17</v>
      </c>
      <c r="E523" s="1533"/>
      <c r="F523" s="1533"/>
      <c r="G523" s="996"/>
      <c r="H523" s="592" t="s">
        <v>12</v>
      </c>
      <c r="I523" s="863"/>
      <c r="J523" s="863"/>
      <c r="K523" s="864"/>
      <c r="L523" s="1000">
        <f t="shared" ref="L523:N523" ca="1" si="226">L524+L525</f>
        <v>0</v>
      </c>
      <c r="M523" s="1000">
        <f t="shared" si="226"/>
        <v>0</v>
      </c>
      <c r="N523" s="1000">
        <f t="shared" si="226"/>
        <v>0</v>
      </c>
      <c r="O523" s="1000">
        <f t="shared" ref="O523:O528" ca="1" si="227">IF(L523&gt;0,N523*100/L523,0)</f>
        <v>0</v>
      </c>
      <c r="P523" s="1000">
        <f t="shared" ref="P523:P528" si="228">IF(M523&gt;0,N523*100/M523,0)</f>
        <v>0</v>
      </c>
      <c r="Q523" s="1277"/>
      <c r="R523" s="1277"/>
      <c r="S523" s="1277"/>
      <c r="T523" s="1277"/>
      <c r="U523" s="1277"/>
      <c r="V523" s="1277"/>
      <c r="W523" s="1277"/>
      <c r="X523" s="1277"/>
      <c r="Y523" s="1277"/>
      <c r="Z523" s="1277"/>
    </row>
    <row r="524" spans="1:26" ht="18.75" hidden="1">
      <c r="A524" s="1293"/>
      <c r="B524" s="1294"/>
      <c r="C524" s="1294"/>
      <c r="D524" s="1295"/>
      <c r="E524" s="1294" t="s">
        <v>184</v>
      </c>
      <c r="F524" s="1294"/>
      <c r="G524" s="1296"/>
      <c r="H524" s="165" t="s">
        <v>12</v>
      </c>
      <c r="I524" s="869"/>
      <c r="J524" s="869"/>
      <c r="K524" s="870"/>
      <c r="L524" s="870">
        <f t="shared" ref="L524:N525" si="229">L527+L534</f>
        <v>0</v>
      </c>
      <c r="M524" s="870">
        <f t="shared" si="229"/>
        <v>0</v>
      </c>
      <c r="N524" s="870">
        <f t="shared" si="229"/>
        <v>0</v>
      </c>
      <c r="O524" s="870">
        <f t="shared" si="227"/>
        <v>0</v>
      </c>
      <c r="P524" s="870">
        <f t="shared" si="228"/>
        <v>0</v>
      </c>
      <c r="Q524" s="1297"/>
      <c r="R524" s="1297"/>
      <c r="S524" s="1297"/>
      <c r="T524" s="1297"/>
      <c r="U524" s="1297"/>
      <c r="V524" s="1297"/>
      <c r="W524" s="1297"/>
      <c r="X524" s="1297"/>
      <c r="Y524" s="1297"/>
      <c r="Z524" s="1297"/>
    </row>
    <row r="525" spans="1:26" ht="18.75" hidden="1">
      <c r="A525" s="1293"/>
      <c r="B525" s="1298"/>
      <c r="C525" s="1294"/>
      <c r="D525" s="1295"/>
      <c r="E525" s="1294" t="s">
        <v>185</v>
      </c>
      <c r="F525" s="1294"/>
      <c r="G525" s="1296"/>
      <c r="H525" s="165" t="s">
        <v>12</v>
      </c>
      <c r="I525" s="869"/>
      <c r="J525" s="869"/>
      <c r="K525" s="870"/>
      <c r="L525" s="870">
        <f t="shared" ca="1" si="229"/>
        <v>0</v>
      </c>
      <c r="M525" s="870">
        <f t="shared" si="229"/>
        <v>0</v>
      </c>
      <c r="N525" s="870">
        <f t="shared" si="229"/>
        <v>0</v>
      </c>
      <c r="O525" s="870">
        <f t="shared" ca="1" si="227"/>
        <v>0</v>
      </c>
      <c r="P525" s="870">
        <f t="shared" si="228"/>
        <v>0</v>
      </c>
      <c r="Q525" s="1297"/>
      <c r="R525" s="1297"/>
      <c r="S525" s="1297"/>
      <c r="T525" s="1297"/>
      <c r="U525" s="1297"/>
      <c r="V525" s="1297"/>
      <c r="W525" s="1297"/>
      <c r="X525" s="1297"/>
      <c r="Y525" s="1297"/>
      <c r="Z525" s="1297"/>
    </row>
    <row r="526" spans="1:26" ht="18.75" hidden="1">
      <c r="A526" s="1292"/>
      <c r="B526" s="1275"/>
      <c r="C526" s="1276"/>
      <c r="D526" s="1299" t="s">
        <v>20</v>
      </c>
      <c r="E526" s="1276"/>
      <c r="F526" s="1276"/>
      <c r="G526" s="996"/>
      <c r="H526" s="161" t="s">
        <v>12</v>
      </c>
      <c r="I526" s="977"/>
      <c r="J526" s="977"/>
      <c r="K526" s="978"/>
      <c r="L526" s="864">
        <f t="shared" ref="L526:N526" ca="1" si="230">L527+L528</f>
        <v>0</v>
      </c>
      <c r="M526" s="864">
        <f t="shared" si="230"/>
        <v>0</v>
      </c>
      <c r="N526" s="864">
        <f t="shared" si="230"/>
        <v>0</v>
      </c>
      <c r="O526" s="864">
        <f t="shared" ca="1" si="227"/>
        <v>0</v>
      </c>
      <c r="P526" s="864">
        <f t="shared" si="228"/>
        <v>0</v>
      </c>
      <c r="Q526" s="1277"/>
      <c r="R526" s="1277"/>
      <c r="S526" s="1277"/>
      <c r="T526" s="1277"/>
      <c r="U526" s="1277"/>
      <c r="V526" s="1277"/>
      <c r="W526" s="1277"/>
      <c r="X526" s="1277"/>
      <c r="Y526" s="1277"/>
      <c r="Z526" s="1277"/>
    </row>
    <row r="527" spans="1:26" ht="18.75" hidden="1">
      <c r="A527" s="1293"/>
      <c r="B527" s="1298"/>
      <c r="C527" s="1294"/>
      <c r="D527" s="1295"/>
      <c r="E527" s="1294" t="s">
        <v>184</v>
      </c>
      <c r="F527" s="1294"/>
      <c r="G527" s="1296"/>
      <c r="H527" s="165" t="s">
        <v>12</v>
      </c>
      <c r="I527" s="869"/>
      <c r="J527" s="869"/>
      <c r="K527" s="870"/>
      <c r="L527" s="870">
        <v>0</v>
      </c>
      <c r="M527" s="870">
        <v>0</v>
      </c>
      <c r="N527" s="870">
        <v>0</v>
      </c>
      <c r="O527" s="870">
        <f t="shared" si="227"/>
        <v>0</v>
      </c>
      <c r="P527" s="870">
        <f t="shared" si="228"/>
        <v>0</v>
      </c>
      <c r="Q527" s="1297"/>
      <c r="R527" s="1297"/>
      <c r="S527" s="1297"/>
      <c r="T527" s="1297"/>
      <c r="U527" s="1297"/>
      <c r="V527" s="1297"/>
      <c r="W527" s="1297"/>
      <c r="X527" s="1297"/>
      <c r="Y527" s="1297"/>
      <c r="Z527" s="1297"/>
    </row>
    <row r="528" spans="1:26" ht="18.75" hidden="1">
      <c r="A528" s="1293"/>
      <c r="B528" s="1298"/>
      <c r="C528" s="1294"/>
      <c r="D528" s="1295"/>
      <c r="E528" s="1294" t="s">
        <v>185</v>
      </c>
      <c r="F528" s="1294"/>
      <c r="G528" s="1296"/>
      <c r="H528" s="165" t="s">
        <v>12</v>
      </c>
      <c r="I528" s="869"/>
      <c r="J528" s="869"/>
      <c r="K528" s="870"/>
      <c r="L528" s="870">
        <f ca="1">IFERROR(__xludf.DUMMYFUNCTION("IMPORTRANGE(""https://docs.google.com/spreadsheets/d/1QqKyyYR6Q21VydFLVH3TRQUabQu_ym0Zz7PgGX0-kHA/edit?usp=sharing"",""แผน!GQ51"")"),0)</f>
        <v>0</v>
      </c>
      <c r="M528" s="870">
        <v>0</v>
      </c>
      <c r="N528" s="870">
        <f>N529+N530+N531+N532</f>
        <v>0</v>
      </c>
      <c r="O528" s="870">
        <f t="shared" ca="1" si="227"/>
        <v>0</v>
      </c>
      <c r="P528" s="870">
        <f t="shared" si="228"/>
        <v>0</v>
      </c>
      <c r="Q528" s="1297"/>
      <c r="R528" s="1297"/>
      <c r="S528" s="1297"/>
      <c r="T528" s="1297"/>
      <c r="U528" s="1297"/>
      <c r="V528" s="1297"/>
      <c r="W528" s="1297"/>
      <c r="X528" s="1297"/>
      <c r="Y528" s="1297"/>
      <c r="Z528" s="1297"/>
    </row>
    <row r="529" spans="1:26" ht="18.75" hidden="1">
      <c r="A529" s="1274"/>
      <c r="B529" s="1275"/>
      <c r="C529" s="1276"/>
      <c r="D529" s="1276"/>
      <c r="E529" s="1276"/>
      <c r="F529" s="1276" t="s">
        <v>186</v>
      </c>
      <c r="G529" s="996"/>
      <c r="H529" s="161" t="s">
        <v>12</v>
      </c>
      <c r="I529" s="863"/>
      <c r="J529" s="863"/>
      <c r="K529" s="864"/>
      <c r="L529" s="864"/>
      <c r="M529" s="864"/>
      <c r="N529" s="1064">
        <v>0</v>
      </c>
      <c r="O529" s="864"/>
      <c r="P529" s="864"/>
      <c r="Q529" s="1277"/>
      <c r="R529" s="1277"/>
      <c r="S529" s="1277"/>
      <c r="T529" s="1277"/>
      <c r="U529" s="1277"/>
      <c r="V529" s="1277"/>
      <c r="W529" s="1277"/>
      <c r="X529" s="1277"/>
      <c r="Y529" s="1277"/>
      <c r="Z529" s="1277"/>
    </row>
    <row r="530" spans="1:26" ht="18.75" hidden="1">
      <c r="A530" s="1274"/>
      <c r="B530" s="1275"/>
      <c r="C530" s="1276"/>
      <c r="D530" s="1276"/>
      <c r="E530" s="1276"/>
      <c r="F530" s="1276" t="s">
        <v>187</v>
      </c>
      <c r="G530" s="996"/>
      <c r="H530" s="161" t="s">
        <v>12</v>
      </c>
      <c r="I530" s="863"/>
      <c r="J530" s="863"/>
      <c r="K530" s="864"/>
      <c r="L530" s="864"/>
      <c r="M530" s="864"/>
      <c r="N530" s="1064">
        <v>0</v>
      </c>
      <c r="O530" s="864"/>
      <c r="P530" s="864"/>
      <c r="Q530" s="1277"/>
      <c r="R530" s="1277"/>
      <c r="S530" s="1277"/>
      <c r="T530" s="1277"/>
      <c r="U530" s="1277"/>
      <c r="V530" s="1277"/>
      <c r="W530" s="1277"/>
      <c r="X530" s="1277"/>
      <c r="Y530" s="1277"/>
      <c r="Z530" s="1277"/>
    </row>
    <row r="531" spans="1:26" ht="18.75" hidden="1">
      <c r="A531" s="1274"/>
      <c r="B531" s="1275"/>
      <c r="C531" s="1276"/>
      <c r="D531" s="1276"/>
      <c r="E531" s="1276"/>
      <c r="F531" s="1276" t="s">
        <v>188</v>
      </c>
      <c r="G531" s="996"/>
      <c r="H531" s="161" t="s">
        <v>12</v>
      </c>
      <c r="I531" s="863"/>
      <c r="J531" s="863"/>
      <c r="K531" s="864"/>
      <c r="L531" s="864"/>
      <c r="M531" s="864"/>
      <c r="N531" s="1064">
        <v>0</v>
      </c>
      <c r="O531" s="864"/>
      <c r="P531" s="864"/>
      <c r="Q531" s="1277"/>
      <c r="R531" s="1277"/>
      <c r="S531" s="1277"/>
      <c r="T531" s="1277"/>
      <c r="U531" s="1277"/>
      <c r="V531" s="1277"/>
      <c r="W531" s="1277"/>
      <c r="X531" s="1277"/>
      <c r="Y531" s="1277"/>
      <c r="Z531" s="1277"/>
    </row>
    <row r="532" spans="1:26" ht="18.75" hidden="1">
      <c r="A532" s="1274"/>
      <c r="B532" s="1275"/>
      <c r="C532" s="1276"/>
      <c r="D532" s="1276"/>
      <c r="E532" s="1276"/>
      <c r="F532" s="1276" t="s">
        <v>189</v>
      </c>
      <c r="G532" s="996"/>
      <c r="H532" s="161" t="s">
        <v>12</v>
      </c>
      <c r="I532" s="863"/>
      <c r="J532" s="863"/>
      <c r="K532" s="864"/>
      <c r="L532" s="864"/>
      <c r="M532" s="864"/>
      <c r="N532" s="1064">
        <v>0</v>
      </c>
      <c r="O532" s="864"/>
      <c r="P532" s="864"/>
      <c r="Q532" s="1277"/>
      <c r="R532" s="1277"/>
      <c r="S532" s="1277"/>
      <c r="T532" s="1277"/>
      <c r="U532" s="1277"/>
      <c r="V532" s="1277"/>
      <c r="W532" s="1277"/>
      <c r="X532" s="1277"/>
      <c r="Y532" s="1277"/>
      <c r="Z532" s="1277"/>
    </row>
    <row r="533" spans="1:26" ht="18.75" hidden="1">
      <c r="A533" s="1292"/>
      <c r="B533" s="1275"/>
      <c r="C533" s="1276"/>
      <c r="D533" s="1299" t="s">
        <v>21</v>
      </c>
      <c r="E533" s="1276"/>
      <c r="F533" s="1276"/>
      <c r="G533" s="996"/>
      <c r="H533" s="168" t="s">
        <v>12</v>
      </c>
      <c r="I533" s="977"/>
      <c r="J533" s="977"/>
      <c r="K533" s="978"/>
      <c r="L533" s="864">
        <f t="shared" ref="L533:N533" ca="1" si="231">L534+L535</f>
        <v>0</v>
      </c>
      <c r="M533" s="864">
        <f t="shared" si="231"/>
        <v>0</v>
      </c>
      <c r="N533" s="864">
        <f t="shared" si="231"/>
        <v>0</v>
      </c>
      <c r="O533" s="864">
        <f t="shared" ref="O533:O535" ca="1" si="232">IF(L533&gt;0,N533*100/L533,0)</f>
        <v>0</v>
      </c>
      <c r="P533" s="864">
        <f t="shared" ref="P533:P535" si="233">IF(M533&gt;0,N533*100/M533,0)</f>
        <v>0</v>
      </c>
      <c r="Q533" s="1277"/>
      <c r="R533" s="1277"/>
      <c r="S533" s="1277"/>
      <c r="T533" s="1277"/>
      <c r="U533" s="1277"/>
      <c r="V533" s="1277"/>
      <c r="W533" s="1277"/>
      <c r="X533" s="1277"/>
      <c r="Y533" s="1277"/>
      <c r="Z533" s="1277"/>
    </row>
    <row r="534" spans="1:26" ht="18.75" hidden="1">
      <c r="A534" s="1293"/>
      <c r="B534" s="1298"/>
      <c r="C534" s="1294"/>
      <c r="D534" s="1294"/>
      <c r="E534" s="1294" t="s">
        <v>18</v>
      </c>
      <c r="F534" s="1294"/>
      <c r="G534" s="1296"/>
      <c r="H534" s="165" t="s">
        <v>12</v>
      </c>
      <c r="I534" s="980"/>
      <c r="J534" s="980"/>
      <c r="K534" s="981"/>
      <c r="L534" s="870">
        <v>0</v>
      </c>
      <c r="M534" s="870">
        <v>0</v>
      </c>
      <c r="N534" s="870">
        <v>0</v>
      </c>
      <c r="O534" s="870">
        <f t="shared" si="232"/>
        <v>0</v>
      </c>
      <c r="P534" s="870">
        <f t="shared" si="233"/>
        <v>0</v>
      </c>
      <c r="Q534" s="1297"/>
      <c r="R534" s="1297"/>
      <c r="S534" s="1297"/>
      <c r="T534" s="1297"/>
      <c r="U534" s="1297"/>
      <c r="V534" s="1297"/>
      <c r="W534" s="1297"/>
      <c r="X534" s="1297"/>
      <c r="Y534" s="1297"/>
      <c r="Z534" s="1297"/>
    </row>
    <row r="535" spans="1:26" ht="18.75" hidden="1">
      <c r="A535" s="1293"/>
      <c r="B535" s="1298"/>
      <c r="C535" s="1294"/>
      <c r="D535" s="1294"/>
      <c r="E535" s="1294" t="s">
        <v>19</v>
      </c>
      <c r="F535" s="1294"/>
      <c r="G535" s="1296"/>
      <c r="H535" s="169" t="s">
        <v>12</v>
      </c>
      <c r="I535" s="980"/>
      <c r="J535" s="980"/>
      <c r="K535" s="981"/>
      <c r="L535" s="870">
        <f ca="1">IFERROR(__xludf.DUMMYFUNCTION("IMPORTRANGE(""https://docs.google.com/spreadsheets/d/1QqKyyYR6Q21VydFLVH3TRQUabQu_ym0Zz7PgGX0-kHA/edit?usp=sharing"",""แผน!GT51"")"),0)</f>
        <v>0</v>
      </c>
      <c r="M535" s="870">
        <v>0</v>
      </c>
      <c r="N535" s="870">
        <v>0</v>
      </c>
      <c r="O535" s="870">
        <f t="shared" ca="1" si="232"/>
        <v>0</v>
      </c>
      <c r="P535" s="870">
        <f t="shared" si="233"/>
        <v>0</v>
      </c>
      <c r="Q535" s="1297"/>
      <c r="R535" s="1297"/>
      <c r="S535" s="1297"/>
      <c r="T535" s="1297"/>
      <c r="U535" s="1297"/>
      <c r="V535" s="1297"/>
      <c r="W535" s="1297"/>
      <c r="X535" s="1297"/>
      <c r="Y535" s="1297"/>
      <c r="Z535" s="1297"/>
    </row>
    <row r="536" spans="1:26" ht="19.5" hidden="1">
      <c r="A536" s="1300"/>
      <c r="B536" s="1301"/>
      <c r="C536" s="1276" t="s">
        <v>16</v>
      </c>
      <c r="D536" s="1353" t="s">
        <v>38</v>
      </c>
      <c r="E536" s="1304"/>
      <c r="F536" s="1304"/>
      <c r="G536" s="1305"/>
      <c r="H536" s="987"/>
      <c r="I536" s="977"/>
      <c r="J536" s="977"/>
      <c r="K536" s="978"/>
      <c r="L536" s="978"/>
      <c r="M536" s="978"/>
      <c r="N536" s="978"/>
      <c r="O536" s="978"/>
      <c r="P536" s="978"/>
      <c r="Q536" s="1277"/>
      <c r="R536" s="1277"/>
      <c r="S536" s="1277"/>
      <c r="T536" s="1277"/>
      <c r="U536" s="1277"/>
      <c r="V536" s="1277"/>
      <c r="W536" s="1277"/>
      <c r="X536" s="1277"/>
      <c r="Y536" s="1277"/>
      <c r="Z536" s="1277"/>
    </row>
    <row r="537" spans="1:26" ht="19.5" hidden="1">
      <c r="A537" s="1274"/>
      <c r="B537" s="1275"/>
      <c r="C537" s="1276"/>
      <c r="D537" s="1276" t="s">
        <v>227</v>
      </c>
      <c r="E537" s="1276"/>
      <c r="F537" s="1276"/>
      <c r="G537" s="996"/>
      <c r="H537" s="617" t="s">
        <v>35</v>
      </c>
      <c r="I537" s="999">
        <f ca="1">IFERROR(__xludf.DUMMYFUNCTION("IMPORTRANGE(""https://docs.google.com/spreadsheets/d/1QqKyyYR6Q21VydFLVH3TRQUabQu_ym0Zz7PgGX0-kHA/edit?usp=sharing"",""แผน!GU51"")"),0)</f>
        <v>0</v>
      </c>
      <c r="J537" s="999">
        <f ca="1">IF(AND(J538=I538,J539=I539,J540=I540,J541=I541),I537,0)</f>
        <v>0</v>
      </c>
      <c r="K537" s="864">
        <f t="shared" ref="K537:K543" ca="1" si="234">IF(I537&gt;0,J537*100/I537,0)</f>
        <v>0</v>
      </c>
      <c r="L537" s="864"/>
      <c r="M537" s="864"/>
      <c r="N537" s="864"/>
      <c r="O537" s="864"/>
      <c r="P537" s="864"/>
      <c r="Q537" s="1354"/>
      <c r="R537" s="1354"/>
      <c r="S537" s="1354"/>
      <c r="T537" s="1354"/>
      <c r="U537" s="1354"/>
      <c r="V537" s="1354"/>
      <c r="W537" s="1354"/>
      <c r="X537" s="1354"/>
      <c r="Y537" s="1354"/>
      <c r="Z537" s="1354"/>
    </row>
    <row r="538" spans="1:26" ht="18.75" hidden="1">
      <c r="A538" s="1274"/>
      <c r="B538" s="1275"/>
      <c r="C538" s="1276"/>
      <c r="D538" s="1276"/>
      <c r="E538" s="1276" t="s">
        <v>228</v>
      </c>
      <c r="F538" s="1276"/>
      <c r="G538" s="996"/>
      <c r="H538" s="617" t="s">
        <v>35</v>
      </c>
      <c r="I538" s="863">
        <f ca="1">IFERROR(__xludf.DUMMYFUNCTION("IMPORTRANGE(""https://docs.google.com/spreadsheets/d/1QqKyyYR6Q21VydFLVH3TRQUabQu_ym0Zz7PgGX0-kHA/edit?usp=sharing"",""แผน!GV51"")"),0)</f>
        <v>0</v>
      </c>
      <c r="J538" s="992">
        <v>0</v>
      </c>
      <c r="K538" s="864">
        <f t="shared" ca="1" si="234"/>
        <v>0</v>
      </c>
      <c r="L538" s="864"/>
      <c r="M538" s="864"/>
      <c r="N538" s="864"/>
      <c r="O538" s="864"/>
      <c r="P538" s="864"/>
      <c r="Q538" s="1354"/>
      <c r="R538" s="1354"/>
      <c r="S538" s="1354"/>
      <c r="T538" s="1354"/>
      <c r="U538" s="1354"/>
      <c r="V538" s="1354"/>
      <c r="W538" s="1354"/>
      <c r="X538" s="1354"/>
      <c r="Y538" s="1354"/>
      <c r="Z538" s="1354"/>
    </row>
    <row r="539" spans="1:26" ht="18.75" hidden="1">
      <c r="A539" s="1274"/>
      <c r="B539" s="1275"/>
      <c r="C539" s="1276"/>
      <c r="D539" s="1276"/>
      <c r="E539" s="1276" t="s">
        <v>229</v>
      </c>
      <c r="F539" s="1276"/>
      <c r="G539" s="996"/>
      <c r="H539" s="617" t="s">
        <v>35</v>
      </c>
      <c r="I539" s="863">
        <f ca="1">IFERROR(__xludf.DUMMYFUNCTION("IMPORTRANGE(""https://docs.google.com/spreadsheets/d/1QqKyyYR6Q21VydFLVH3TRQUabQu_ym0Zz7PgGX0-kHA/edit?usp=sharing"",""แผน!GW51"")"),0)</f>
        <v>0</v>
      </c>
      <c r="J539" s="992">
        <v>0</v>
      </c>
      <c r="K539" s="864">
        <f t="shared" ca="1" si="234"/>
        <v>0</v>
      </c>
      <c r="L539" s="864"/>
      <c r="M539" s="864"/>
      <c r="N539" s="864"/>
      <c r="O539" s="864"/>
      <c r="P539" s="864"/>
      <c r="Q539" s="1354"/>
      <c r="R539" s="1354"/>
      <c r="S539" s="1354"/>
      <c r="T539" s="1354"/>
      <c r="U539" s="1354"/>
      <c r="V539" s="1354"/>
      <c r="W539" s="1354"/>
      <c r="X539" s="1354"/>
      <c r="Y539" s="1354"/>
      <c r="Z539" s="1354"/>
    </row>
    <row r="540" spans="1:26" ht="18.75" hidden="1">
      <c r="A540" s="1274"/>
      <c r="B540" s="1275"/>
      <c r="C540" s="1276"/>
      <c r="D540" s="1276"/>
      <c r="E540" s="1276" t="s">
        <v>230</v>
      </c>
      <c r="F540" s="1276"/>
      <c r="G540" s="996"/>
      <c r="H540" s="617" t="s">
        <v>35</v>
      </c>
      <c r="I540" s="863">
        <f ca="1">IFERROR(__xludf.DUMMYFUNCTION("IMPORTRANGE(""https://docs.google.com/spreadsheets/d/1QqKyyYR6Q21VydFLVH3TRQUabQu_ym0Zz7PgGX0-kHA/edit?usp=sharing"",""แผน!GX51"")"),0)</f>
        <v>0</v>
      </c>
      <c r="J540" s="992">
        <v>0</v>
      </c>
      <c r="K540" s="864">
        <f t="shared" ca="1" si="234"/>
        <v>0</v>
      </c>
      <c r="L540" s="864"/>
      <c r="M540" s="864"/>
      <c r="N540" s="864"/>
      <c r="O540" s="864"/>
      <c r="P540" s="864"/>
      <c r="Q540" s="1354"/>
      <c r="R540" s="1354"/>
      <c r="S540" s="1354"/>
      <c r="T540" s="1354"/>
      <c r="U540" s="1354"/>
      <c r="V540" s="1354"/>
      <c r="W540" s="1354"/>
      <c r="X540" s="1354"/>
      <c r="Y540" s="1354"/>
      <c r="Z540" s="1354"/>
    </row>
    <row r="541" spans="1:26" ht="18.75" hidden="1">
      <c r="A541" s="1274"/>
      <c r="B541" s="1275"/>
      <c r="C541" s="1276"/>
      <c r="D541" s="1276"/>
      <c r="E541" s="1355" t="s">
        <v>231</v>
      </c>
      <c r="F541" s="1276"/>
      <c r="G541" s="996"/>
      <c r="H541" s="617" t="s">
        <v>35</v>
      </c>
      <c r="I541" s="863">
        <f ca="1">IFERROR(__xludf.DUMMYFUNCTION("IMPORTRANGE(""https://docs.google.com/spreadsheets/d/1QqKyyYR6Q21VydFLVH3TRQUabQu_ym0Zz7PgGX0-kHA/edit?usp=sharing"",""แผน!GY51"")"),0)</f>
        <v>0</v>
      </c>
      <c r="J541" s="992">
        <v>0</v>
      </c>
      <c r="K541" s="864">
        <f t="shared" ca="1" si="234"/>
        <v>0</v>
      </c>
      <c r="L541" s="864"/>
      <c r="M541" s="864"/>
      <c r="N541" s="864"/>
      <c r="O541" s="864"/>
      <c r="P541" s="864"/>
      <c r="Q541" s="1354"/>
      <c r="R541" s="1354"/>
      <c r="S541" s="1354"/>
      <c r="T541" s="1354"/>
      <c r="U541" s="1354"/>
      <c r="V541" s="1354"/>
      <c r="W541" s="1354"/>
      <c r="X541" s="1354"/>
      <c r="Y541" s="1354"/>
      <c r="Z541" s="1354"/>
    </row>
    <row r="542" spans="1:26" ht="18.75" hidden="1">
      <c r="A542" s="1274"/>
      <c r="B542" s="1275"/>
      <c r="C542" s="1276"/>
      <c r="D542" s="1276" t="s">
        <v>59</v>
      </c>
      <c r="E542" s="1276"/>
      <c r="F542" s="1276"/>
      <c r="G542" s="996"/>
      <c r="H542" s="617" t="s">
        <v>35</v>
      </c>
      <c r="I542" s="863">
        <f ca="1">IFERROR(__xludf.DUMMYFUNCTION("IMPORTRANGE(""https://docs.google.com/spreadsheets/d/1QqKyyYR6Q21VydFLVH3TRQUabQu_ym0Zz7PgGX0-kHA/edit?usp=sharing"",""แผน!GZ51"")"),0)</f>
        <v>0</v>
      </c>
      <c r="J542" s="992">
        <v>0</v>
      </c>
      <c r="K542" s="864">
        <f t="shared" ca="1" si="234"/>
        <v>0</v>
      </c>
      <c r="L542" s="864"/>
      <c r="M542" s="864"/>
      <c r="N542" s="864"/>
      <c r="O542" s="864"/>
      <c r="P542" s="864"/>
      <c r="Q542" s="1354"/>
      <c r="R542" s="1354"/>
      <c r="S542" s="1354"/>
      <c r="T542" s="1354"/>
      <c r="U542" s="1354"/>
      <c r="V542" s="1354"/>
      <c r="W542" s="1354"/>
      <c r="X542" s="1354"/>
      <c r="Y542" s="1354"/>
      <c r="Z542" s="1354"/>
    </row>
    <row r="543" spans="1:26" ht="19.5">
      <c r="A543" s="657">
        <v>6</v>
      </c>
      <c r="B543" s="1356" t="s">
        <v>232</v>
      </c>
      <c r="C543" s="1342"/>
      <c r="D543" s="1342"/>
      <c r="E543" s="1342"/>
      <c r="F543" s="1342"/>
      <c r="G543" s="1343"/>
      <c r="H543" s="679" t="s">
        <v>46</v>
      </c>
      <c r="I543" s="1357">
        <f t="shared" ref="I543:J543" ca="1" si="235">I559</f>
        <v>88522</v>
      </c>
      <c r="J543" s="1357">
        <f t="shared" si="235"/>
        <v>4634</v>
      </c>
      <c r="K543" s="1358">
        <f t="shared" ca="1" si="234"/>
        <v>5.2348568717380992</v>
      </c>
      <c r="L543" s="1345"/>
      <c r="M543" s="1345"/>
      <c r="N543" s="1345"/>
      <c r="O543" s="1345"/>
      <c r="P543" s="1345"/>
      <c r="Q543" s="1277"/>
      <c r="R543" s="1277"/>
      <c r="S543" s="1277"/>
      <c r="T543" s="1277"/>
      <c r="U543" s="1277"/>
      <c r="V543" s="1277"/>
      <c r="W543" s="1277"/>
      <c r="X543" s="1277"/>
      <c r="Y543" s="1277"/>
      <c r="Z543" s="1277"/>
    </row>
    <row r="544" spans="1:26" ht="19.5">
      <c r="A544" s="1359"/>
      <c r="B544" s="1360"/>
      <c r="C544" s="1360" t="s">
        <v>16</v>
      </c>
      <c r="D544" s="1558" t="s">
        <v>17</v>
      </c>
      <c r="E544" s="1535"/>
      <c r="F544" s="1535"/>
      <c r="G544" s="1361"/>
      <c r="H544" s="275" t="s">
        <v>12</v>
      </c>
      <c r="I544" s="970"/>
      <c r="J544" s="970"/>
      <c r="K544" s="971"/>
      <c r="L544" s="972">
        <f t="shared" ref="L544:N544" ca="1" si="236">L545+L546</f>
        <v>517164</v>
      </c>
      <c r="M544" s="972">
        <f t="shared" si="236"/>
        <v>0</v>
      </c>
      <c r="N544" s="972">
        <f t="shared" si="236"/>
        <v>241214.35</v>
      </c>
      <c r="O544" s="972">
        <f t="shared" ref="O544:O549" ca="1" si="237">IF(L544&gt;0,N544*100/L544,0)</f>
        <v>46.641751939423472</v>
      </c>
      <c r="P544" s="972">
        <f t="shared" ref="P544:P549" si="238">IF(M544&gt;0,N544*100/M544,0)</f>
        <v>0</v>
      </c>
      <c r="Q544" s="1277"/>
      <c r="R544" s="1277"/>
      <c r="S544" s="1277"/>
      <c r="T544" s="1277"/>
      <c r="U544" s="1277"/>
      <c r="V544" s="1277"/>
      <c r="W544" s="1277"/>
      <c r="X544" s="1277"/>
      <c r="Y544" s="1277"/>
      <c r="Z544" s="1277"/>
    </row>
    <row r="545" spans="1:26" ht="18.75" hidden="1">
      <c r="A545" s="1293"/>
      <c r="B545" s="1294"/>
      <c r="C545" s="1294"/>
      <c r="D545" s="1294"/>
      <c r="E545" s="1294" t="s">
        <v>184</v>
      </c>
      <c r="F545" s="1294"/>
      <c r="G545" s="1296"/>
      <c r="H545" s="165" t="s">
        <v>12</v>
      </c>
      <c r="I545" s="869"/>
      <c r="J545" s="869"/>
      <c r="K545" s="870"/>
      <c r="L545" s="870">
        <f t="shared" ref="L545:L546" si="239">L548+L556</f>
        <v>0</v>
      </c>
      <c r="M545" s="870">
        <f t="shared" ref="M545:N546" si="240">M548+M555</f>
        <v>0</v>
      </c>
      <c r="N545" s="870">
        <f t="shared" si="240"/>
        <v>0</v>
      </c>
      <c r="O545" s="870">
        <f t="shared" si="237"/>
        <v>0</v>
      </c>
      <c r="P545" s="870">
        <f t="shared" si="238"/>
        <v>0</v>
      </c>
      <c r="Q545" s="1297"/>
      <c r="R545" s="1297"/>
      <c r="S545" s="1297"/>
      <c r="T545" s="1297"/>
      <c r="U545" s="1297"/>
      <c r="V545" s="1297"/>
      <c r="W545" s="1297"/>
      <c r="X545" s="1297"/>
      <c r="Y545" s="1297"/>
      <c r="Z545" s="1297"/>
    </row>
    <row r="546" spans="1:26" ht="18.75" hidden="1">
      <c r="A546" s="1293"/>
      <c r="B546" s="1298"/>
      <c r="C546" s="1294"/>
      <c r="D546" s="1294"/>
      <c r="E546" s="1294" t="s">
        <v>185</v>
      </c>
      <c r="F546" s="1294"/>
      <c r="G546" s="1296"/>
      <c r="H546" s="165" t="s">
        <v>12</v>
      </c>
      <c r="I546" s="869"/>
      <c r="J546" s="869"/>
      <c r="K546" s="870"/>
      <c r="L546" s="870">
        <f t="shared" ca="1" si="239"/>
        <v>517164</v>
      </c>
      <c r="M546" s="870">
        <f t="shared" si="240"/>
        <v>0</v>
      </c>
      <c r="N546" s="870">
        <f t="shared" si="240"/>
        <v>241214.35</v>
      </c>
      <c r="O546" s="870">
        <f t="shared" ca="1" si="237"/>
        <v>46.641751939423472</v>
      </c>
      <c r="P546" s="870">
        <f t="shared" si="238"/>
        <v>0</v>
      </c>
      <c r="Q546" s="1297"/>
      <c r="R546" s="1297"/>
      <c r="S546" s="1297"/>
      <c r="T546" s="1297"/>
      <c r="U546" s="1297"/>
      <c r="V546" s="1297"/>
      <c r="W546" s="1297"/>
      <c r="X546" s="1297"/>
      <c r="Y546" s="1297"/>
      <c r="Z546" s="1297"/>
    </row>
    <row r="547" spans="1:26" ht="18.75">
      <c r="A547" s="1292"/>
      <c r="B547" s="1275"/>
      <c r="C547" s="1276"/>
      <c r="D547" s="1299" t="s">
        <v>20</v>
      </c>
      <c r="E547" s="1276"/>
      <c r="F547" s="1276"/>
      <c r="G547" s="996"/>
      <c r="H547" s="161" t="s">
        <v>12</v>
      </c>
      <c r="I547" s="977"/>
      <c r="J547" s="977"/>
      <c r="K547" s="978"/>
      <c r="L547" s="864">
        <f t="shared" ref="L547:N547" ca="1" si="241">L548+L549</f>
        <v>517164</v>
      </c>
      <c r="M547" s="864">
        <f t="shared" si="241"/>
        <v>0</v>
      </c>
      <c r="N547" s="864">
        <f t="shared" si="241"/>
        <v>241214.35</v>
      </c>
      <c r="O547" s="864">
        <f t="shared" ca="1" si="237"/>
        <v>46.641751939423472</v>
      </c>
      <c r="P547" s="864">
        <f t="shared" si="238"/>
        <v>0</v>
      </c>
      <c r="Q547" s="1277"/>
      <c r="R547" s="1277"/>
      <c r="S547" s="1277"/>
      <c r="T547" s="1277"/>
      <c r="U547" s="1277"/>
      <c r="V547" s="1277"/>
      <c r="W547" s="1277"/>
      <c r="X547" s="1277"/>
      <c r="Y547" s="1277"/>
      <c r="Z547" s="1277"/>
    </row>
    <row r="548" spans="1:26" ht="18.75" hidden="1">
      <c r="A548" s="1293"/>
      <c r="B548" s="1298"/>
      <c r="C548" s="1294"/>
      <c r="D548" s="1295"/>
      <c r="E548" s="1294" t="s">
        <v>184</v>
      </c>
      <c r="F548" s="1294"/>
      <c r="G548" s="1296"/>
      <c r="H548" s="165" t="s">
        <v>12</v>
      </c>
      <c r="I548" s="869"/>
      <c r="J548" s="869"/>
      <c r="K548" s="870"/>
      <c r="L548" s="870">
        <v>0</v>
      </c>
      <c r="M548" s="870">
        <v>0</v>
      </c>
      <c r="N548" s="870">
        <v>0</v>
      </c>
      <c r="O548" s="870">
        <f t="shared" si="237"/>
        <v>0</v>
      </c>
      <c r="P548" s="870">
        <f t="shared" si="238"/>
        <v>0</v>
      </c>
      <c r="Q548" s="1297"/>
      <c r="R548" s="1297"/>
      <c r="S548" s="1297"/>
      <c r="T548" s="1297"/>
      <c r="U548" s="1297"/>
      <c r="V548" s="1297"/>
      <c r="W548" s="1297"/>
      <c r="X548" s="1297"/>
      <c r="Y548" s="1297"/>
      <c r="Z548" s="1297"/>
    </row>
    <row r="549" spans="1:26" ht="18.75" hidden="1">
      <c r="A549" s="1293"/>
      <c r="B549" s="1298"/>
      <c r="C549" s="1294"/>
      <c r="D549" s="1295"/>
      <c r="E549" s="1294" t="s">
        <v>185</v>
      </c>
      <c r="F549" s="1294"/>
      <c r="G549" s="1296"/>
      <c r="H549" s="165" t="s">
        <v>12</v>
      </c>
      <c r="I549" s="869"/>
      <c r="J549" s="869"/>
      <c r="K549" s="870"/>
      <c r="L549" s="870">
        <f ca="1">IFERROR(__xludf.DUMMYFUNCTION("IMPORTRANGE(""https://docs.google.com/spreadsheets/d/1QqKyyYR6Q21VydFLVH3TRQUabQu_ym0Zz7PgGX0-kHA/edit?usp=sharing"",""แผน!HB51"")"),517164)</f>
        <v>517164</v>
      </c>
      <c r="M549" s="870">
        <v>0</v>
      </c>
      <c r="N549" s="870">
        <f>N550+N551+N552+N553+N554</f>
        <v>241214.35</v>
      </c>
      <c r="O549" s="870">
        <f t="shared" ca="1" si="237"/>
        <v>46.641751939423472</v>
      </c>
      <c r="P549" s="870">
        <f t="shared" si="238"/>
        <v>0</v>
      </c>
      <c r="Q549" s="1297"/>
      <c r="R549" s="1297"/>
      <c r="S549" s="1297"/>
      <c r="T549" s="1297"/>
      <c r="U549" s="1297"/>
      <c r="V549" s="1297"/>
      <c r="W549" s="1297"/>
      <c r="X549" s="1297"/>
      <c r="Y549" s="1297"/>
      <c r="Z549" s="1297"/>
    </row>
    <row r="550" spans="1:26" ht="18.75">
      <c r="A550" s="1274"/>
      <c r="B550" s="1275"/>
      <c r="C550" s="1276"/>
      <c r="D550" s="1276"/>
      <c r="E550" s="1276"/>
      <c r="F550" s="1276" t="s">
        <v>186</v>
      </c>
      <c r="G550" s="996"/>
      <c r="H550" s="161" t="s">
        <v>12</v>
      </c>
      <c r="I550" s="863"/>
      <c r="J550" s="863"/>
      <c r="K550" s="864"/>
      <c r="L550" s="864"/>
      <c r="M550" s="864"/>
      <c r="N550" s="1064">
        <v>0</v>
      </c>
      <c r="O550" s="864"/>
      <c r="P550" s="864"/>
      <c r="Q550" s="1277"/>
      <c r="R550" s="1277"/>
      <c r="S550" s="1277"/>
      <c r="T550" s="1277"/>
      <c r="U550" s="1277"/>
      <c r="V550" s="1277"/>
      <c r="W550" s="1277"/>
      <c r="X550" s="1277"/>
      <c r="Y550" s="1277"/>
      <c r="Z550" s="1277"/>
    </row>
    <row r="551" spans="1:26" ht="18.75">
      <c r="A551" s="1274"/>
      <c r="B551" s="1275"/>
      <c r="C551" s="1275"/>
      <c r="D551" s="1275"/>
      <c r="E551" s="1276"/>
      <c r="F551" s="1276" t="s">
        <v>187</v>
      </c>
      <c r="G551" s="996"/>
      <c r="H551" s="161" t="s">
        <v>12</v>
      </c>
      <c r="I551" s="863"/>
      <c r="J551" s="863"/>
      <c r="K551" s="864"/>
      <c r="L551" s="864"/>
      <c r="M551" s="864"/>
      <c r="N551" s="1064">
        <v>0</v>
      </c>
      <c r="O551" s="864"/>
      <c r="P551" s="864"/>
      <c r="Q551" s="1277"/>
      <c r="R551" s="1277"/>
      <c r="S551" s="1277"/>
      <c r="T551" s="1277"/>
      <c r="U551" s="1277"/>
      <c r="V551" s="1277"/>
      <c r="W551" s="1277"/>
      <c r="X551" s="1277"/>
      <c r="Y551" s="1277"/>
      <c r="Z551" s="1277"/>
    </row>
    <row r="552" spans="1:26" ht="18.75">
      <c r="A552" s="1274"/>
      <c r="B552" s="1275"/>
      <c r="C552" s="1276"/>
      <c r="D552" s="1276"/>
      <c r="E552" s="1276"/>
      <c r="F552" s="1276" t="s">
        <v>188</v>
      </c>
      <c r="G552" s="996"/>
      <c r="H552" s="161" t="s">
        <v>12</v>
      </c>
      <c r="I552" s="863"/>
      <c r="J552" s="863"/>
      <c r="K552" s="864"/>
      <c r="L552" s="864"/>
      <c r="M552" s="864"/>
      <c r="N552" s="1064">
        <v>65000</v>
      </c>
      <c r="O552" s="864"/>
      <c r="P552" s="864"/>
      <c r="Q552" s="1277"/>
      <c r="R552" s="1277"/>
      <c r="S552" s="1277"/>
      <c r="T552" s="1277"/>
      <c r="U552" s="1277"/>
      <c r="V552" s="1277"/>
      <c r="W552" s="1277"/>
      <c r="X552" s="1277"/>
      <c r="Y552" s="1277"/>
      <c r="Z552" s="1277"/>
    </row>
    <row r="553" spans="1:26" ht="18.75">
      <c r="A553" s="1274"/>
      <c r="B553" s="1275"/>
      <c r="C553" s="1275"/>
      <c r="D553" s="1275"/>
      <c r="E553" s="1276"/>
      <c r="F553" s="1276" t="s">
        <v>189</v>
      </c>
      <c r="G553" s="996"/>
      <c r="H553" s="161" t="s">
        <v>12</v>
      </c>
      <c r="I553" s="863"/>
      <c r="J553" s="863"/>
      <c r="K553" s="864"/>
      <c r="L553" s="864"/>
      <c r="M553" s="864"/>
      <c r="N553" s="1064">
        <f>33375+3010+10496.35+12000+15000+3000+99333</f>
        <v>176214.35</v>
      </c>
      <c r="O553" s="864"/>
      <c r="P553" s="864"/>
      <c r="Q553" s="1277"/>
      <c r="R553" s="1277"/>
      <c r="S553" s="1277"/>
      <c r="T553" s="1277"/>
      <c r="U553" s="1277"/>
      <c r="V553" s="1277"/>
      <c r="W553" s="1277"/>
      <c r="X553" s="1277"/>
      <c r="Y553" s="1277"/>
      <c r="Z553" s="1277"/>
    </row>
    <row r="554" spans="1:26" ht="18.75">
      <c r="A554" s="1274"/>
      <c r="B554" s="1275"/>
      <c r="C554" s="1275"/>
      <c r="D554" s="1275"/>
      <c r="E554" s="1276"/>
      <c r="F554" s="1276" t="s">
        <v>233</v>
      </c>
      <c r="G554" s="996"/>
      <c r="H554" s="161" t="s">
        <v>12</v>
      </c>
      <c r="I554" s="863"/>
      <c r="J554" s="863"/>
      <c r="K554" s="864"/>
      <c r="L554" s="864"/>
      <c r="M554" s="864"/>
      <c r="N554" s="1064">
        <v>0</v>
      </c>
      <c r="O554" s="864"/>
      <c r="P554" s="864"/>
      <c r="Q554" s="1277"/>
      <c r="R554" s="1277"/>
      <c r="S554" s="1277"/>
      <c r="T554" s="1277"/>
      <c r="U554" s="1277"/>
      <c r="V554" s="1277"/>
      <c r="W554" s="1277"/>
      <c r="X554" s="1277"/>
      <c r="Y554" s="1277"/>
      <c r="Z554" s="1277"/>
    </row>
    <row r="555" spans="1:26" ht="18.75">
      <c r="A555" s="1292"/>
      <c r="B555" s="1275"/>
      <c r="C555" s="1275"/>
      <c r="D555" s="1299" t="s">
        <v>21</v>
      </c>
      <c r="E555" s="1276"/>
      <c r="F555" s="1276"/>
      <c r="G555" s="996"/>
      <c r="H555" s="168" t="s">
        <v>12</v>
      </c>
      <c r="I555" s="977"/>
      <c r="J555" s="977"/>
      <c r="K555" s="978"/>
      <c r="L555" s="864">
        <f t="shared" ref="L555:N555" ca="1" si="242">L556+L557</f>
        <v>0</v>
      </c>
      <c r="M555" s="864">
        <f t="shared" si="242"/>
        <v>0</v>
      </c>
      <c r="N555" s="864">
        <f t="shared" si="242"/>
        <v>0</v>
      </c>
      <c r="O555" s="864">
        <f t="shared" ref="O555:O557" ca="1" si="243">IF(L555&gt;0,N555*100/L555,0)</f>
        <v>0</v>
      </c>
      <c r="P555" s="864">
        <f t="shared" ref="P555:P557" si="244">IF(M555&gt;0,N555*100/M555,0)</f>
        <v>0</v>
      </c>
      <c r="Q555" s="1277"/>
      <c r="R555" s="1277"/>
      <c r="S555" s="1277"/>
      <c r="T555" s="1277"/>
      <c r="U555" s="1277"/>
      <c r="V555" s="1277"/>
      <c r="W555" s="1277"/>
      <c r="X555" s="1277"/>
      <c r="Y555" s="1277"/>
      <c r="Z555" s="1277"/>
    </row>
    <row r="556" spans="1:26" ht="18.75" hidden="1">
      <c r="A556" s="1293"/>
      <c r="B556" s="1298"/>
      <c r="C556" s="1298"/>
      <c r="D556" s="1294"/>
      <c r="E556" s="1294" t="s">
        <v>18</v>
      </c>
      <c r="F556" s="1294"/>
      <c r="G556" s="1296"/>
      <c r="H556" s="165" t="s">
        <v>12</v>
      </c>
      <c r="I556" s="980"/>
      <c r="J556" s="980"/>
      <c r="K556" s="981"/>
      <c r="L556" s="870">
        <v>0</v>
      </c>
      <c r="M556" s="870">
        <v>0</v>
      </c>
      <c r="N556" s="870">
        <v>0</v>
      </c>
      <c r="O556" s="870">
        <f t="shared" si="243"/>
        <v>0</v>
      </c>
      <c r="P556" s="870">
        <f t="shared" si="244"/>
        <v>0</v>
      </c>
      <c r="Q556" s="1297"/>
      <c r="R556" s="1297"/>
      <c r="S556" s="1297"/>
      <c r="T556" s="1297"/>
      <c r="U556" s="1297"/>
      <c r="V556" s="1297"/>
      <c r="W556" s="1297"/>
      <c r="X556" s="1297"/>
      <c r="Y556" s="1297"/>
      <c r="Z556" s="1297"/>
    </row>
    <row r="557" spans="1:26" ht="18.75" hidden="1">
      <c r="A557" s="1293"/>
      <c r="B557" s="1298"/>
      <c r="C557" s="1298"/>
      <c r="D557" s="1294"/>
      <c r="E557" s="1294" t="s">
        <v>19</v>
      </c>
      <c r="F557" s="1294"/>
      <c r="G557" s="1296"/>
      <c r="H557" s="169" t="s">
        <v>12</v>
      </c>
      <c r="I557" s="980"/>
      <c r="J557" s="980"/>
      <c r="K557" s="981"/>
      <c r="L557" s="870">
        <f ca="1">IFERROR(__xludf.DUMMYFUNCTION("IMPORTRANGE(""https://docs.google.com/spreadsheets/d/1QqKyyYR6Q21VydFLVH3TRQUabQu_ym0Zz7PgGX0-kHA/edit?usp=sharing"",""แผน!HF51"")"),0)</f>
        <v>0</v>
      </c>
      <c r="M557" s="870">
        <v>0</v>
      </c>
      <c r="N557" s="870">
        <v>0</v>
      </c>
      <c r="O557" s="870">
        <f t="shared" ca="1" si="243"/>
        <v>0</v>
      </c>
      <c r="P557" s="870">
        <f t="shared" si="244"/>
        <v>0</v>
      </c>
      <c r="Q557" s="1297"/>
      <c r="R557" s="1297"/>
      <c r="S557" s="1297"/>
      <c r="T557" s="1297"/>
      <c r="U557" s="1297"/>
      <c r="V557" s="1297"/>
      <c r="W557" s="1297"/>
      <c r="X557" s="1297"/>
      <c r="Y557" s="1297"/>
      <c r="Z557" s="1297"/>
    </row>
    <row r="558" spans="1:26" ht="19.5">
      <c r="A558" s="1300"/>
      <c r="B558" s="1301"/>
      <c r="C558" s="1275" t="s">
        <v>16</v>
      </c>
      <c r="D558" s="1353" t="s">
        <v>38</v>
      </c>
      <c r="E558" s="1304"/>
      <c r="F558" s="1304"/>
      <c r="G558" s="1305"/>
      <c r="H558" s="987"/>
      <c r="I558" s="977"/>
      <c r="J558" s="977"/>
      <c r="K558" s="978"/>
      <c r="L558" s="978"/>
      <c r="M558" s="978"/>
      <c r="N558" s="978"/>
      <c r="O558" s="978"/>
      <c r="P558" s="978"/>
      <c r="Q558" s="1277"/>
      <c r="R558" s="1277"/>
      <c r="S558" s="1277"/>
      <c r="T558" s="1277"/>
      <c r="U558" s="1277"/>
      <c r="V558" s="1277"/>
      <c r="W558" s="1277"/>
      <c r="X558" s="1277"/>
      <c r="Y558" s="1277"/>
      <c r="Z558" s="1277"/>
    </row>
    <row r="559" spans="1:26" ht="19.5">
      <c r="A559" s="1362"/>
      <c r="B559" s="1363" t="s">
        <v>234</v>
      </c>
      <c r="C559" s="1364"/>
      <c r="D559" s="1364"/>
      <c r="E559" s="1348"/>
      <c r="F559" s="1348"/>
      <c r="G559" s="1349"/>
      <c r="H559" s="688" t="s">
        <v>46</v>
      </c>
      <c r="I559" s="1350">
        <f t="shared" ref="I559:J559" ca="1" si="245">I576</f>
        <v>88522</v>
      </c>
      <c r="J559" s="1350">
        <f t="shared" si="245"/>
        <v>4634</v>
      </c>
      <c r="K559" s="1351">
        <f t="shared" ref="K559:K561" ca="1" si="246">IF(I559&gt;0,J559*100/I559,0)</f>
        <v>5.2348568717380992</v>
      </c>
      <c r="L559" s="1352"/>
      <c r="M559" s="1352"/>
      <c r="N559" s="1352"/>
      <c r="O559" s="1352"/>
      <c r="P559" s="1352"/>
      <c r="Q559" s="1277"/>
      <c r="R559" s="1277"/>
      <c r="S559" s="1277"/>
      <c r="T559" s="1277"/>
      <c r="U559" s="1277"/>
      <c r="V559" s="1277"/>
      <c r="W559" s="1277"/>
      <c r="X559" s="1277"/>
      <c r="Y559" s="1277"/>
      <c r="Z559" s="1277"/>
    </row>
    <row r="560" spans="1:26" ht="19.5">
      <c r="A560" s="1300"/>
      <c r="B560" s="1301"/>
      <c r="C560" s="1310" t="s">
        <v>235</v>
      </c>
      <c r="D560" s="1301"/>
      <c r="E560" s="994"/>
      <c r="F560" s="994"/>
      <c r="G560" s="987"/>
      <c r="H560" s="760" t="s">
        <v>46</v>
      </c>
      <c r="I560" s="998">
        <f ca="1">IFERROR(__xludf.DUMMYFUNCTION("IMPORTRANGE(""https://docs.google.com/spreadsheets/d/1QqKyyYR6Q21VydFLVH3TRQUabQu_ym0Zz7PgGX0-kHA/edit?usp=sharing"",""แผน!HH51"")"),88522)</f>
        <v>88522</v>
      </c>
      <c r="J560" s="998">
        <f t="shared" ref="J560:J561" si="247">J562+J564+J566</f>
        <v>88522.55</v>
      </c>
      <c r="K560" s="1142">
        <f t="shared" ca="1" si="246"/>
        <v>100.0006213144755</v>
      </c>
      <c r="L560" s="978"/>
      <c r="M560" s="978"/>
      <c r="N560" s="978"/>
      <c r="O560" s="978"/>
      <c r="P560" s="978"/>
      <c r="Q560" s="1277"/>
      <c r="R560" s="1277"/>
      <c r="S560" s="1277"/>
      <c r="T560" s="1277"/>
      <c r="U560" s="1277"/>
      <c r="V560" s="1277"/>
      <c r="W560" s="1277"/>
      <c r="X560" s="1277"/>
      <c r="Y560" s="1277"/>
      <c r="Z560" s="1277"/>
    </row>
    <row r="561" spans="1:26" ht="19.5">
      <c r="A561" s="1300"/>
      <c r="B561" s="1301"/>
      <c r="C561" s="1301"/>
      <c r="D561" s="994"/>
      <c r="E561" s="994"/>
      <c r="F561" s="994"/>
      <c r="G561" s="987"/>
      <c r="H561" s="760" t="s">
        <v>34</v>
      </c>
      <c r="I561" s="998">
        <f ca="1">IFERROR(__xludf.DUMMYFUNCTION("IMPORTRANGE(""https://docs.google.com/spreadsheets/d/1QqKyyYR6Q21VydFLVH3TRQUabQu_ym0Zz7PgGX0-kHA/edit?usp=sharing"",""แผน!HG51"")"),8669)</f>
        <v>8669</v>
      </c>
      <c r="J561" s="998">
        <f t="shared" si="247"/>
        <v>8669</v>
      </c>
      <c r="K561" s="1142">
        <f t="shared" ca="1" si="246"/>
        <v>100</v>
      </c>
      <c r="L561" s="978"/>
      <c r="M561" s="978"/>
      <c r="N561" s="978"/>
      <c r="O561" s="978"/>
      <c r="P561" s="978"/>
      <c r="Q561" s="1277"/>
      <c r="R561" s="1277"/>
      <c r="S561" s="1277"/>
      <c r="T561" s="1277"/>
      <c r="U561" s="1277"/>
      <c r="V561" s="1277"/>
      <c r="W561" s="1277"/>
      <c r="X561" s="1277"/>
      <c r="Y561" s="1277"/>
      <c r="Z561" s="1277"/>
    </row>
    <row r="562" spans="1:26" ht="18.75">
      <c r="A562" s="1300"/>
      <c r="B562" s="1301"/>
      <c r="C562" s="1301"/>
      <c r="D562" s="994" t="s">
        <v>236</v>
      </c>
      <c r="E562" s="994"/>
      <c r="F562" s="994"/>
      <c r="G562" s="987"/>
      <c r="H562" s="757" t="s">
        <v>46</v>
      </c>
      <c r="I562" s="977"/>
      <c r="J562" s="992">
        <v>63806.057500000003</v>
      </c>
      <c r="K562" s="978"/>
      <c r="L562" s="978"/>
      <c r="M562" s="978"/>
      <c r="N562" s="978"/>
      <c r="O562" s="978"/>
      <c r="P562" s="978"/>
      <c r="Q562" s="1277"/>
      <c r="R562" s="1277"/>
      <c r="S562" s="1277"/>
      <c r="T562" s="1277"/>
      <c r="U562" s="1277"/>
      <c r="V562" s="1277"/>
      <c r="W562" s="1277"/>
      <c r="X562" s="1277"/>
      <c r="Y562" s="1277"/>
      <c r="Z562" s="1277"/>
    </row>
    <row r="563" spans="1:26" ht="18.75">
      <c r="A563" s="1300"/>
      <c r="B563" s="1301"/>
      <c r="C563" s="1301"/>
      <c r="D563" s="1301"/>
      <c r="E563" s="994"/>
      <c r="F563" s="994"/>
      <c r="G563" s="987"/>
      <c r="H563" s="757" t="s">
        <v>34</v>
      </c>
      <c r="I563" s="977"/>
      <c r="J563" s="992">
        <v>6638</v>
      </c>
      <c r="K563" s="978"/>
      <c r="L563" s="978"/>
      <c r="M563" s="978"/>
      <c r="N563" s="978"/>
      <c r="O563" s="978"/>
      <c r="P563" s="978"/>
      <c r="Q563" s="1277"/>
      <c r="R563" s="1277"/>
      <c r="S563" s="1277"/>
      <c r="T563" s="1277"/>
      <c r="U563" s="1277"/>
      <c r="V563" s="1277"/>
      <c r="W563" s="1277"/>
      <c r="X563" s="1277"/>
      <c r="Y563" s="1277"/>
      <c r="Z563" s="1277"/>
    </row>
    <row r="564" spans="1:26" ht="18.75">
      <c r="A564" s="1300"/>
      <c r="B564" s="1301"/>
      <c r="C564" s="1301"/>
      <c r="D564" s="994" t="s">
        <v>237</v>
      </c>
      <c r="E564" s="994"/>
      <c r="F564" s="994"/>
      <c r="G564" s="987"/>
      <c r="H564" s="757" t="s">
        <v>46</v>
      </c>
      <c r="I564" s="977"/>
      <c r="J564" s="992">
        <v>20079.0975</v>
      </c>
      <c r="K564" s="978"/>
      <c r="L564" s="978"/>
      <c r="M564" s="978"/>
      <c r="N564" s="978"/>
      <c r="O564" s="978"/>
      <c r="P564" s="978"/>
      <c r="Q564" s="1277"/>
      <c r="R564" s="1277"/>
      <c r="S564" s="1277"/>
      <c r="T564" s="1277"/>
      <c r="U564" s="1277"/>
      <c r="V564" s="1277"/>
      <c r="W564" s="1277"/>
      <c r="X564" s="1277"/>
      <c r="Y564" s="1277"/>
      <c r="Z564" s="1277"/>
    </row>
    <row r="565" spans="1:26" ht="18.75">
      <c r="A565" s="1300"/>
      <c r="B565" s="1301"/>
      <c r="C565" s="1301"/>
      <c r="D565" s="994"/>
      <c r="E565" s="994"/>
      <c r="F565" s="994"/>
      <c r="G565" s="987"/>
      <c r="H565" s="757" t="s">
        <v>34</v>
      </c>
      <c r="I565" s="977"/>
      <c r="J565" s="992">
        <v>1654</v>
      </c>
      <c r="K565" s="978"/>
      <c r="L565" s="978"/>
      <c r="M565" s="978"/>
      <c r="N565" s="978"/>
      <c r="O565" s="978"/>
      <c r="P565" s="978"/>
      <c r="Q565" s="1277"/>
      <c r="R565" s="1277"/>
      <c r="S565" s="1277"/>
      <c r="T565" s="1277"/>
      <c r="U565" s="1277"/>
      <c r="V565" s="1277"/>
      <c r="W565" s="1277"/>
      <c r="X565" s="1277"/>
      <c r="Y565" s="1277"/>
      <c r="Z565" s="1277"/>
    </row>
    <row r="566" spans="1:26" ht="18.75">
      <c r="A566" s="1300"/>
      <c r="B566" s="1301"/>
      <c r="C566" s="1301"/>
      <c r="D566" s="994" t="s">
        <v>238</v>
      </c>
      <c r="E566" s="994"/>
      <c r="F566" s="994"/>
      <c r="G566" s="987"/>
      <c r="H566" s="757" t="s">
        <v>46</v>
      </c>
      <c r="I566" s="977"/>
      <c r="J566" s="992">
        <v>4637.3950000000004</v>
      </c>
      <c r="K566" s="978"/>
      <c r="L566" s="978"/>
      <c r="M566" s="978"/>
      <c r="N566" s="978"/>
      <c r="O566" s="978"/>
      <c r="P566" s="978"/>
      <c r="Q566" s="1277"/>
      <c r="R566" s="1277"/>
      <c r="S566" s="1277"/>
      <c r="T566" s="1277"/>
      <c r="U566" s="1277"/>
      <c r="V566" s="1277"/>
      <c r="W566" s="1277"/>
      <c r="X566" s="1277"/>
      <c r="Y566" s="1277"/>
      <c r="Z566" s="1277"/>
    </row>
    <row r="567" spans="1:26" ht="18.75">
      <c r="A567" s="1300"/>
      <c r="B567" s="1301"/>
      <c r="C567" s="1301"/>
      <c r="D567" s="994"/>
      <c r="E567" s="994"/>
      <c r="F567" s="994"/>
      <c r="G567" s="987"/>
      <c r="H567" s="757" t="s">
        <v>34</v>
      </c>
      <c r="I567" s="977"/>
      <c r="J567" s="992">
        <v>377</v>
      </c>
      <c r="K567" s="978"/>
      <c r="L567" s="978"/>
      <c r="M567" s="978"/>
      <c r="N567" s="978"/>
      <c r="O567" s="978"/>
      <c r="P567" s="978"/>
      <c r="Q567" s="1277"/>
      <c r="R567" s="1277"/>
      <c r="S567" s="1277"/>
      <c r="T567" s="1277"/>
      <c r="U567" s="1277"/>
      <c r="V567" s="1277"/>
      <c r="W567" s="1277"/>
      <c r="X567" s="1277"/>
      <c r="Y567" s="1277"/>
      <c r="Z567" s="1277"/>
    </row>
    <row r="568" spans="1:26" ht="19.5">
      <c r="A568" s="1300"/>
      <c r="B568" s="1301"/>
      <c r="C568" s="1310" t="s">
        <v>239</v>
      </c>
      <c r="D568" s="994"/>
      <c r="E568" s="994"/>
      <c r="F568" s="994"/>
      <c r="G568" s="987"/>
      <c r="H568" s="760" t="s">
        <v>46</v>
      </c>
      <c r="I568" s="998">
        <f ca="1">IFERROR(__xludf.DUMMYFUNCTION("IMPORTRANGE(""https://docs.google.com/spreadsheets/d/1QqKyyYR6Q21VydFLVH3TRQUabQu_ym0Zz7PgGX0-kHA/edit?usp=sharing"",""แผน!HH51"")"),88522)</f>
        <v>88522</v>
      </c>
      <c r="J568" s="999">
        <f t="shared" ref="J568:J569" si="248">J570+J572+J574</f>
        <v>88522</v>
      </c>
      <c r="K568" s="1142">
        <f t="shared" ref="K568:K569" ca="1" si="249">IF(I568&gt;0,J568*100/I568,0)</f>
        <v>100</v>
      </c>
      <c r="L568" s="978"/>
      <c r="M568" s="978"/>
      <c r="N568" s="978"/>
      <c r="O568" s="978"/>
      <c r="P568" s="978"/>
      <c r="Q568" s="1277"/>
      <c r="R568" s="1277"/>
      <c r="S568" s="1277"/>
      <c r="T568" s="1277"/>
      <c r="U568" s="1277"/>
      <c r="V568" s="1277"/>
      <c r="W568" s="1277"/>
      <c r="X568" s="1277"/>
      <c r="Y568" s="1277"/>
      <c r="Z568" s="1277"/>
    </row>
    <row r="569" spans="1:26" ht="19.5">
      <c r="A569" s="1300"/>
      <c r="B569" s="1301"/>
      <c r="C569" s="1301"/>
      <c r="D569" s="1301"/>
      <c r="E569" s="994"/>
      <c r="F569" s="994"/>
      <c r="G569" s="987"/>
      <c r="H569" s="760" t="s">
        <v>34</v>
      </c>
      <c r="I569" s="998">
        <f ca="1">IFERROR(__xludf.DUMMYFUNCTION("IMPORTRANGE(""https://docs.google.com/spreadsheets/d/1QqKyyYR6Q21VydFLVH3TRQUabQu_ym0Zz7PgGX0-kHA/edit?usp=sharing"",""แผน!HG51"")"),8669)</f>
        <v>8669</v>
      </c>
      <c r="J569" s="999">
        <f t="shared" si="248"/>
        <v>8669</v>
      </c>
      <c r="K569" s="1142">
        <f t="shared" ca="1" si="249"/>
        <v>100</v>
      </c>
      <c r="L569" s="978"/>
      <c r="M569" s="978"/>
      <c r="N569" s="978"/>
      <c r="O569" s="978"/>
      <c r="P569" s="978"/>
      <c r="Q569" s="1277"/>
      <c r="R569" s="1277"/>
      <c r="S569" s="1277"/>
      <c r="T569" s="1277"/>
      <c r="U569" s="1277"/>
      <c r="V569" s="1277"/>
      <c r="W569" s="1277"/>
      <c r="X569" s="1277"/>
      <c r="Y569" s="1277"/>
      <c r="Z569" s="1277"/>
    </row>
    <row r="570" spans="1:26" ht="18.75">
      <c r="A570" s="1300"/>
      <c r="B570" s="1301"/>
      <c r="C570" s="1301"/>
      <c r="D570" s="994" t="s">
        <v>240</v>
      </c>
      <c r="E570" s="1301"/>
      <c r="F570" s="994"/>
      <c r="G570" s="987"/>
      <c r="H570" s="757" t="s">
        <v>46</v>
      </c>
      <c r="I570" s="977"/>
      <c r="J570" s="992">
        <v>68458</v>
      </c>
      <c r="K570" s="978"/>
      <c r="L570" s="978"/>
      <c r="M570" s="978"/>
      <c r="N570" s="978"/>
      <c r="O570" s="978"/>
      <c r="P570" s="978"/>
      <c r="Q570" s="1277"/>
      <c r="R570" s="1277"/>
      <c r="S570" s="1277"/>
      <c r="T570" s="1277"/>
      <c r="U570" s="1277"/>
      <c r="V570" s="1277"/>
      <c r="W570" s="1277"/>
      <c r="X570" s="1277"/>
      <c r="Y570" s="1277"/>
      <c r="Z570" s="1277"/>
    </row>
    <row r="571" spans="1:26" ht="18.75">
      <c r="A571" s="1300"/>
      <c r="B571" s="1301"/>
      <c r="C571" s="1301"/>
      <c r="D571" s="1301"/>
      <c r="E571" s="994"/>
      <c r="F571" s="994"/>
      <c r="G571" s="987"/>
      <c r="H571" s="757" t="s">
        <v>34</v>
      </c>
      <c r="I571" s="977"/>
      <c r="J571" s="992">
        <v>7114</v>
      </c>
      <c r="K571" s="978"/>
      <c r="L571" s="978"/>
      <c r="M571" s="978"/>
      <c r="N571" s="978"/>
      <c r="O571" s="978"/>
      <c r="P571" s="978"/>
      <c r="Q571" s="1277"/>
      <c r="R571" s="1277"/>
      <c r="S571" s="1277"/>
      <c r="T571" s="1277"/>
      <c r="U571" s="1277"/>
      <c r="V571" s="1277"/>
      <c r="W571" s="1277"/>
      <c r="X571" s="1277"/>
      <c r="Y571" s="1277"/>
      <c r="Z571" s="1277"/>
    </row>
    <row r="572" spans="1:26" ht="18.75">
      <c r="A572" s="1300"/>
      <c r="B572" s="1301"/>
      <c r="C572" s="1301"/>
      <c r="D572" s="994" t="s">
        <v>241</v>
      </c>
      <c r="E572" s="994"/>
      <c r="F572" s="994"/>
      <c r="G572" s="987"/>
      <c r="H572" s="757" t="s">
        <v>46</v>
      </c>
      <c r="I572" s="977"/>
      <c r="J572" s="992">
        <v>15430</v>
      </c>
      <c r="K572" s="978"/>
      <c r="L572" s="978"/>
      <c r="M572" s="978"/>
      <c r="N572" s="978"/>
      <c r="O572" s="978"/>
      <c r="P572" s="978"/>
      <c r="Q572" s="1277"/>
      <c r="R572" s="1277"/>
      <c r="S572" s="1277"/>
      <c r="T572" s="1277"/>
      <c r="U572" s="1277"/>
      <c r="V572" s="1277"/>
      <c r="W572" s="1277"/>
      <c r="X572" s="1277"/>
      <c r="Y572" s="1277"/>
      <c r="Z572" s="1277"/>
    </row>
    <row r="573" spans="1:26" ht="18.75">
      <c r="A573" s="1300"/>
      <c r="B573" s="1301"/>
      <c r="C573" s="1301"/>
      <c r="D573" s="994"/>
      <c r="E573" s="994"/>
      <c r="F573" s="994"/>
      <c r="G573" s="987"/>
      <c r="H573" s="757" t="s">
        <v>34</v>
      </c>
      <c r="I573" s="977"/>
      <c r="J573" s="992">
        <v>1142</v>
      </c>
      <c r="K573" s="978"/>
      <c r="L573" s="978"/>
      <c r="M573" s="978"/>
      <c r="N573" s="978"/>
      <c r="O573" s="978"/>
      <c r="P573" s="978"/>
      <c r="Q573" s="1277"/>
      <c r="R573" s="1277"/>
      <c r="S573" s="1277"/>
      <c r="T573" s="1277"/>
      <c r="U573" s="1277"/>
      <c r="V573" s="1277"/>
      <c r="W573" s="1277"/>
      <c r="X573" s="1277"/>
      <c r="Y573" s="1277"/>
      <c r="Z573" s="1277"/>
    </row>
    <row r="574" spans="1:26" ht="18.75">
      <c r="A574" s="1300"/>
      <c r="B574" s="1301"/>
      <c r="C574" s="1301"/>
      <c r="D574" s="994" t="s">
        <v>242</v>
      </c>
      <c r="E574" s="994"/>
      <c r="F574" s="994"/>
      <c r="G574" s="987"/>
      <c r="H574" s="757" t="s">
        <v>46</v>
      </c>
      <c r="I574" s="977"/>
      <c r="J574" s="992">
        <v>4634</v>
      </c>
      <c r="K574" s="978"/>
      <c r="L574" s="978"/>
      <c r="M574" s="978"/>
      <c r="N574" s="978"/>
      <c r="O574" s="978"/>
      <c r="P574" s="978"/>
      <c r="Q574" s="1277"/>
      <c r="R574" s="1277"/>
      <c r="S574" s="1277"/>
      <c r="T574" s="1277"/>
      <c r="U574" s="1277"/>
      <c r="V574" s="1277"/>
      <c r="W574" s="1277"/>
      <c r="X574" s="1277"/>
      <c r="Y574" s="1277"/>
      <c r="Z574" s="1277"/>
    </row>
    <row r="575" spans="1:26" ht="18.75">
      <c r="A575" s="1300"/>
      <c r="B575" s="1301"/>
      <c r="C575" s="1301"/>
      <c r="D575" s="1301"/>
      <c r="E575" s="994"/>
      <c r="F575" s="994"/>
      <c r="G575" s="987"/>
      <c r="H575" s="757" t="s">
        <v>34</v>
      </c>
      <c r="I575" s="977"/>
      <c r="J575" s="992">
        <v>413</v>
      </c>
      <c r="K575" s="978"/>
      <c r="L575" s="978"/>
      <c r="M575" s="978"/>
      <c r="N575" s="978"/>
      <c r="O575" s="978"/>
      <c r="P575" s="978"/>
      <c r="Q575" s="1277"/>
      <c r="R575" s="1277"/>
      <c r="S575" s="1277"/>
      <c r="T575" s="1277"/>
      <c r="U575" s="1277"/>
      <c r="V575" s="1277"/>
      <c r="W575" s="1277"/>
      <c r="X575" s="1277"/>
      <c r="Y575" s="1277"/>
      <c r="Z575" s="1277"/>
    </row>
    <row r="576" spans="1:26" ht="19.5">
      <c r="A576" s="1300"/>
      <c r="B576" s="1301"/>
      <c r="C576" s="1310" t="s">
        <v>243</v>
      </c>
      <c r="D576" s="1301"/>
      <c r="E576" s="1301"/>
      <c r="F576" s="994"/>
      <c r="G576" s="987"/>
      <c r="H576" s="760" t="s">
        <v>46</v>
      </c>
      <c r="I576" s="998">
        <f ca="1">IFERROR(__xludf.DUMMYFUNCTION("IMPORTRANGE(""https://docs.google.com/spreadsheets/d/1QqKyyYR6Q21VydFLVH3TRQUabQu_ym0Zz7PgGX0-kHA/edit?usp=sharing"",""แผน!HH51"")"),88522)</f>
        <v>88522</v>
      </c>
      <c r="J576" s="999">
        <f t="shared" ref="J576:J577" si="250">J578+J580+J582+J588+J590</f>
        <v>4634</v>
      </c>
      <c r="K576" s="1142">
        <f t="shared" ref="K576:K577" ca="1" si="251">IF(I576&gt;0,J576*100/I576,0)</f>
        <v>5.2348568717380992</v>
      </c>
      <c r="L576" s="978"/>
      <c r="M576" s="978"/>
      <c r="N576" s="978"/>
      <c r="O576" s="978"/>
      <c r="P576" s="978"/>
      <c r="Q576" s="1277"/>
      <c r="R576" s="1277"/>
      <c r="S576" s="1277"/>
      <c r="T576" s="1277"/>
      <c r="U576" s="1277"/>
      <c r="V576" s="1277"/>
      <c r="W576" s="1277"/>
      <c r="X576" s="1277"/>
      <c r="Y576" s="1277"/>
      <c r="Z576" s="1277"/>
    </row>
    <row r="577" spans="1:26" ht="19.5">
      <c r="A577" s="1300"/>
      <c r="B577" s="1301"/>
      <c r="C577" s="1301"/>
      <c r="D577" s="1301"/>
      <c r="E577" s="994"/>
      <c r="F577" s="994"/>
      <c r="G577" s="987"/>
      <c r="H577" s="760" t="s">
        <v>34</v>
      </c>
      <c r="I577" s="998">
        <f ca="1">IFERROR(__xludf.DUMMYFUNCTION("IMPORTRANGE(""https://docs.google.com/spreadsheets/d/1QqKyyYR6Q21VydFLVH3TRQUabQu_ym0Zz7PgGX0-kHA/edit?usp=sharing"",""แผน!HG51"")"),8669)</f>
        <v>8669</v>
      </c>
      <c r="J577" s="999">
        <f t="shared" si="250"/>
        <v>413</v>
      </c>
      <c r="K577" s="1142">
        <f t="shared" ca="1" si="251"/>
        <v>4.7641019725458529</v>
      </c>
      <c r="L577" s="978"/>
      <c r="M577" s="978"/>
      <c r="N577" s="978"/>
      <c r="O577" s="978"/>
      <c r="P577" s="978"/>
      <c r="Q577" s="1277"/>
      <c r="R577" s="1277"/>
      <c r="S577" s="1277"/>
      <c r="T577" s="1277"/>
      <c r="U577" s="1277"/>
      <c r="V577" s="1277"/>
      <c r="W577" s="1277"/>
      <c r="X577" s="1277"/>
      <c r="Y577" s="1277"/>
      <c r="Z577" s="1277"/>
    </row>
    <row r="578" spans="1:26" ht="18.75">
      <c r="A578" s="1300"/>
      <c r="B578" s="1301"/>
      <c r="C578" s="1301"/>
      <c r="D578" s="994" t="s">
        <v>244</v>
      </c>
      <c r="E578" s="994"/>
      <c r="F578" s="994"/>
      <c r="G578" s="987"/>
      <c r="H578" s="757" t="s">
        <v>46</v>
      </c>
      <c r="I578" s="977"/>
      <c r="J578" s="992">
        <v>0</v>
      </c>
      <c r="K578" s="978"/>
      <c r="L578" s="978"/>
      <c r="M578" s="978"/>
      <c r="N578" s="978"/>
      <c r="O578" s="978"/>
      <c r="P578" s="978"/>
      <c r="Q578" s="1277"/>
      <c r="R578" s="1277"/>
      <c r="S578" s="1277"/>
      <c r="T578" s="1277"/>
      <c r="U578" s="1277"/>
      <c r="V578" s="1277"/>
      <c r="W578" s="1277"/>
      <c r="X578" s="1277"/>
      <c r="Y578" s="1277"/>
      <c r="Z578" s="1277"/>
    </row>
    <row r="579" spans="1:26" ht="18.75">
      <c r="A579" s="1300"/>
      <c r="B579" s="1301"/>
      <c r="C579" s="1301"/>
      <c r="D579" s="1301"/>
      <c r="E579" s="994"/>
      <c r="F579" s="994"/>
      <c r="G579" s="987"/>
      <c r="H579" s="757" t="s">
        <v>34</v>
      </c>
      <c r="I579" s="977"/>
      <c r="J579" s="992">
        <v>0</v>
      </c>
      <c r="K579" s="978"/>
      <c r="L579" s="978"/>
      <c r="M579" s="978"/>
      <c r="N579" s="978"/>
      <c r="O579" s="978"/>
      <c r="P579" s="978"/>
      <c r="Q579" s="1277"/>
      <c r="R579" s="1277"/>
      <c r="S579" s="1277"/>
      <c r="T579" s="1277"/>
      <c r="U579" s="1277"/>
      <c r="V579" s="1277"/>
      <c r="W579" s="1277"/>
      <c r="X579" s="1277"/>
      <c r="Y579" s="1277"/>
      <c r="Z579" s="1277"/>
    </row>
    <row r="580" spans="1:26" ht="18.75">
      <c r="A580" s="1300"/>
      <c r="B580" s="1301"/>
      <c r="C580" s="1301"/>
      <c r="D580" s="994" t="s">
        <v>245</v>
      </c>
      <c r="E580" s="994"/>
      <c r="F580" s="994"/>
      <c r="G580" s="987"/>
      <c r="H580" s="757" t="s">
        <v>46</v>
      </c>
      <c r="I580" s="977"/>
      <c r="J580" s="992">
        <v>0</v>
      </c>
      <c r="K580" s="978"/>
      <c r="L580" s="978"/>
      <c r="M580" s="978"/>
      <c r="N580" s="978"/>
      <c r="O580" s="978"/>
      <c r="P580" s="978"/>
      <c r="Q580" s="1277"/>
      <c r="R580" s="1277"/>
      <c r="S580" s="1277"/>
      <c r="T580" s="1277"/>
      <c r="U580" s="1277"/>
      <c r="V580" s="1277"/>
      <c r="W580" s="1277"/>
      <c r="X580" s="1277"/>
      <c r="Y580" s="1277"/>
      <c r="Z580" s="1277"/>
    </row>
    <row r="581" spans="1:26" ht="18.75">
      <c r="A581" s="1300"/>
      <c r="B581" s="1301"/>
      <c r="C581" s="1301"/>
      <c r="D581" s="1301"/>
      <c r="E581" s="994"/>
      <c r="F581" s="994"/>
      <c r="G581" s="987"/>
      <c r="H581" s="757" t="s">
        <v>34</v>
      </c>
      <c r="I581" s="977"/>
      <c r="J581" s="992">
        <v>0</v>
      </c>
      <c r="K581" s="978"/>
      <c r="L581" s="978"/>
      <c r="M581" s="978"/>
      <c r="N581" s="978"/>
      <c r="O581" s="978"/>
      <c r="P581" s="978"/>
      <c r="Q581" s="1277"/>
      <c r="R581" s="1277"/>
      <c r="S581" s="1277"/>
      <c r="T581" s="1277"/>
      <c r="U581" s="1277"/>
      <c r="V581" s="1277"/>
      <c r="W581" s="1277"/>
      <c r="X581" s="1277"/>
      <c r="Y581" s="1277"/>
      <c r="Z581" s="1277"/>
    </row>
    <row r="582" spans="1:26" ht="19.5">
      <c r="A582" s="1300"/>
      <c r="B582" s="1301"/>
      <c r="C582" s="1301"/>
      <c r="D582" s="994" t="s">
        <v>246</v>
      </c>
      <c r="E582" s="994"/>
      <c r="F582" s="994"/>
      <c r="G582" s="987"/>
      <c r="H582" s="757" t="s">
        <v>46</v>
      </c>
      <c r="I582" s="977"/>
      <c r="J582" s="999">
        <f t="shared" ref="J582:J583" si="252">J584+J586</f>
        <v>4634</v>
      </c>
      <c r="K582" s="1142"/>
      <c r="L582" s="978"/>
      <c r="M582" s="978"/>
      <c r="N582" s="978"/>
      <c r="O582" s="978"/>
      <c r="P582" s="978"/>
      <c r="Q582" s="1277"/>
      <c r="R582" s="1277"/>
      <c r="S582" s="1277"/>
      <c r="T582" s="1277"/>
      <c r="U582" s="1277"/>
      <c r="V582" s="1277"/>
      <c r="W582" s="1277"/>
      <c r="X582" s="1277"/>
      <c r="Y582" s="1277"/>
      <c r="Z582" s="1277"/>
    </row>
    <row r="583" spans="1:26" ht="19.5">
      <c r="A583" s="1300"/>
      <c r="B583" s="1301"/>
      <c r="C583" s="1301"/>
      <c r="D583" s="1301"/>
      <c r="E583" s="994"/>
      <c r="F583" s="994"/>
      <c r="G583" s="987"/>
      <c r="H583" s="757" t="s">
        <v>34</v>
      </c>
      <c r="I583" s="977"/>
      <c r="J583" s="999">
        <f t="shared" si="252"/>
        <v>413</v>
      </c>
      <c r="K583" s="1142"/>
      <c r="L583" s="978"/>
      <c r="M583" s="978"/>
      <c r="N583" s="978"/>
      <c r="O583" s="978"/>
      <c r="P583" s="978"/>
      <c r="Q583" s="1277"/>
      <c r="R583" s="1277"/>
      <c r="S583" s="1277"/>
      <c r="T583" s="1277"/>
      <c r="U583" s="1277"/>
      <c r="V583" s="1277"/>
      <c r="W583" s="1277"/>
      <c r="X583" s="1277"/>
      <c r="Y583" s="1277"/>
      <c r="Z583" s="1277"/>
    </row>
    <row r="584" spans="1:26" ht="18.75">
      <c r="A584" s="1300"/>
      <c r="B584" s="1301"/>
      <c r="C584" s="1301"/>
      <c r="D584" s="1301"/>
      <c r="E584" s="994" t="s">
        <v>247</v>
      </c>
      <c r="F584" s="994"/>
      <c r="G584" s="987"/>
      <c r="H584" s="757" t="s">
        <v>46</v>
      </c>
      <c r="I584" s="977"/>
      <c r="J584" s="992">
        <v>4624</v>
      </c>
      <c r="K584" s="978"/>
      <c r="L584" s="978"/>
      <c r="M584" s="978"/>
      <c r="N584" s="978"/>
      <c r="O584" s="978"/>
      <c r="P584" s="978"/>
      <c r="Q584" s="1277"/>
      <c r="R584" s="1277"/>
      <c r="S584" s="1277"/>
      <c r="T584" s="1277"/>
      <c r="U584" s="1277"/>
      <c r="V584" s="1277"/>
      <c r="W584" s="1277"/>
      <c r="X584" s="1277"/>
      <c r="Y584" s="1277"/>
      <c r="Z584" s="1277"/>
    </row>
    <row r="585" spans="1:26" ht="18.75">
      <c r="A585" s="1300"/>
      <c r="B585" s="1301"/>
      <c r="C585" s="1301"/>
      <c r="D585" s="1301"/>
      <c r="E585" s="994"/>
      <c r="F585" s="994"/>
      <c r="G585" s="987"/>
      <c r="H585" s="757" t="s">
        <v>34</v>
      </c>
      <c r="I585" s="977"/>
      <c r="J585" s="992">
        <v>412</v>
      </c>
      <c r="K585" s="978"/>
      <c r="L585" s="978"/>
      <c r="M585" s="978"/>
      <c r="N585" s="978"/>
      <c r="O585" s="978"/>
      <c r="P585" s="978"/>
      <c r="Q585" s="1277"/>
      <c r="R585" s="1277"/>
      <c r="S585" s="1277"/>
      <c r="T585" s="1277"/>
      <c r="U585" s="1277"/>
      <c r="V585" s="1277"/>
      <c r="W585" s="1277"/>
      <c r="X585" s="1277"/>
      <c r="Y585" s="1277"/>
      <c r="Z585" s="1277"/>
    </row>
    <row r="586" spans="1:26" ht="18.75">
      <c r="A586" s="1300"/>
      <c r="B586" s="1301"/>
      <c r="C586" s="1301"/>
      <c r="D586" s="1301"/>
      <c r="E586" s="994" t="s">
        <v>248</v>
      </c>
      <c r="F586" s="994"/>
      <c r="G586" s="987"/>
      <c r="H586" s="757" t="s">
        <v>46</v>
      </c>
      <c r="I586" s="977"/>
      <c r="J586" s="992">
        <v>10</v>
      </c>
      <c r="K586" s="978"/>
      <c r="L586" s="978"/>
      <c r="M586" s="978"/>
      <c r="N586" s="978"/>
      <c r="O586" s="978"/>
      <c r="P586" s="978"/>
      <c r="Q586" s="1277"/>
      <c r="R586" s="1277"/>
      <c r="S586" s="1277"/>
      <c r="T586" s="1277"/>
      <c r="U586" s="1277"/>
      <c r="V586" s="1277"/>
      <c r="W586" s="1277"/>
      <c r="X586" s="1277"/>
      <c r="Y586" s="1277"/>
      <c r="Z586" s="1277"/>
    </row>
    <row r="587" spans="1:26" ht="18.75">
      <c r="A587" s="1300"/>
      <c r="B587" s="1301"/>
      <c r="C587" s="1301"/>
      <c r="D587" s="1301"/>
      <c r="E587" s="1301"/>
      <c r="F587" s="994"/>
      <c r="G587" s="987"/>
      <c r="H587" s="757" t="s">
        <v>34</v>
      </c>
      <c r="I587" s="977"/>
      <c r="J587" s="992">
        <v>1</v>
      </c>
      <c r="K587" s="978"/>
      <c r="L587" s="978"/>
      <c r="M587" s="978"/>
      <c r="N587" s="978"/>
      <c r="O587" s="978"/>
      <c r="P587" s="978"/>
      <c r="Q587" s="1277"/>
      <c r="R587" s="1277"/>
      <c r="S587" s="1277"/>
      <c r="T587" s="1277"/>
      <c r="U587" s="1277"/>
      <c r="V587" s="1277"/>
      <c r="W587" s="1277"/>
      <c r="X587" s="1277"/>
      <c r="Y587" s="1277"/>
      <c r="Z587" s="1277"/>
    </row>
    <row r="588" spans="1:26" ht="18.75">
      <c r="A588" s="1300"/>
      <c r="B588" s="1301"/>
      <c r="C588" s="1301"/>
      <c r="D588" s="994" t="s">
        <v>249</v>
      </c>
      <c r="E588" s="994"/>
      <c r="F588" s="994"/>
      <c r="G588" s="987"/>
      <c r="H588" s="757" t="s">
        <v>46</v>
      </c>
      <c r="I588" s="977"/>
      <c r="J588" s="992">
        <v>0</v>
      </c>
      <c r="K588" s="978"/>
      <c r="L588" s="978"/>
      <c r="M588" s="978"/>
      <c r="N588" s="978"/>
      <c r="O588" s="978"/>
      <c r="P588" s="978"/>
      <c r="Q588" s="1277"/>
      <c r="R588" s="1277"/>
      <c r="S588" s="1277"/>
      <c r="T588" s="1277"/>
      <c r="U588" s="1277"/>
      <c r="V588" s="1277"/>
      <c r="W588" s="1277"/>
      <c r="X588" s="1277"/>
      <c r="Y588" s="1277"/>
      <c r="Z588" s="1277"/>
    </row>
    <row r="589" spans="1:26" ht="18.75">
      <c r="A589" s="1300"/>
      <c r="B589" s="1301"/>
      <c r="C589" s="1301"/>
      <c r="D589" s="1301"/>
      <c r="E589" s="1301"/>
      <c r="F589" s="994"/>
      <c r="G589" s="987"/>
      <c r="H589" s="757" t="s">
        <v>34</v>
      </c>
      <c r="I589" s="977"/>
      <c r="J589" s="992">
        <v>0</v>
      </c>
      <c r="K589" s="978"/>
      <c r="L589" s="978"/>
      <c r="M589" s="978"/>
      <c r="N589" s="978"/>
      <c r="O589" s="978"/>
      <c r="P589" s="978"/>
      <c r="Q589" s="1277"/>
      <c r="R589" s="1277"/>
      <c r="S589" s="1277"/>
      <c r="T589" s="1277"/>
      <c r="U589" s="1277"/>
      <c r="V589" s="1277"/>
      <c r="W589" s="1277"/>
      <c r="X589" s="1277"/>
      <c r="Y589" s="1277"/>
      <c r="Z589" s="1277"/>
    </row>
    <row r="590" spans="1:26" ht="18.75">
      <c r="A590" s="1300"/>
      <c r="B590" s="1301"/>
      <c r="C590" s="1301"/>
      <c r="D590" s="994" t="s">
        <v>250</v>
      </c>
      <c r="E590" s="994"/>
      <c r="F590" s="994"/>
      <c r="G590" s="987"/>
      <c r="H590" s="757" t="s">
        <v>46</v>
      </c>
      <c r="I590" s="977"/>
      <c r="J590" s="992">
        <v>0</v>
      </c>
      <c r="K590" s="978"/>
      <c r="L590" s="978"/>
      <c r="M590" s="978"/>
      <c r="N590" s="978"/>
      <c r="O590" s="978"/>
      <c r="P590" s="978"/>
      <c r="Q590" s="1277"/>
      <c r="R590" s="1277"/>
      <c r="S590" s="1277"/>
      <c r="T590" s="1277"/>
      <c r="U590" s="1277"/>
      <c r="V590" s="1277"/>
      <c r="W590" s="1277"/>
      <c r="X590" s="1277"/>
      <c r="Y590" s="1277"/>
      <c r="Z590" s="1277"/>
    </row>
    <row r="591" spans="1:26" ht="18.75">
      <c r="A591" s="1365"/>
      <c r="B591" s="1366"/>
      <c r="C591" s="1366"/>
      <c r="D591" s="1366"/>
      <c r="E591" s="1277"/>
      <c r="F591" s="1277"/>
      <c r="G591" s="1367"/>
      <c r="H591" s="692" t="s">
        <v>34</v>
      </c>
      <c r="I591" s="1368"/>
      <c r="J591" s="1369">
        <v>0</v>
      </c>
      <c r="K591" s="1370"/>
      <c r="L591" s="1370"/>
      <c r="M591" s="1370"/>
      <c r="N591" s="1370"/>
      <c r="O591" s="1370"/>
      <c r="P591" s="1370"/>
      <c r="Q591" s="1277"/>
      <c r="R591" s="1277"/>
      <c r="S591" s="1277"/>
      <c r="T591" s="1277"/>
      <c r="U591" s="1277"/>
      <c r="V591" s="1277"/>
      <c r="W591" s="1277"/>
      <c r="X591" s="1277"/>
      <c r="Y591" s="1277"/>
      <c r="Z591" s="1277"/>
    </row>
    <row r="592" spans="1:26" ht="19.5">
      <c r="A592" s="1362"/>
      <c r="B592" s="1363" t="s">
        <v>251</v>
      </c>
      <c r="C592" s="1364"/>
      <c r="D592" s="1364"/>
      <c r="E592" s="1348"/>
      <c r="F592" s="1348"/>
      <c r="G592" s="1349"/>
      <c r="H592" s="688" t="s">
        <v>46</v>
      </c>
      <c r="I592" s="1371">
        <f t="shared" ref="I592:J592" ca="1" si="253">I593</f>
        <v>1760.88</v>
      </c>
      <c r="J592" s="1350">
        <f t="shared" si="253"/>
        <v>1.58</v>
      </c>
      <c r="K592" s="1351">
        <f t="shared" ref="K592:K594" ca="1" si="254">IF(I592&gt;0,J592*100/I592,0)</f>
        <v>8.9727863341056743E-2</v>
      </c>
      <c r="L592" s="1352"/>
      <c r="M592" s="1352"/>
      <c r="N592" s="1352"/>
      <c r="O592" s="1352"/>
      <c r="P592" s="1352"/>
      <c r="Q592" s="1277"/>
      <c r="R592" s="1277"/>
      <c r="S592" s="1277"/>
      <c r="T592" s="1277"/>
      <c r="U592" s="1277"/>
      <c r="V592" s="1277"/>
      <c r="W592" s="1277"/>
      <c r="X592" s="1277"/>
      <c r="Y592" s="1277"/>
      <c r="Z592" s="1277"/>
    </row>
    <row r="593" spans="1:26" ht="19.5">
      <c r="A593" s="1300"/>
      <c r="B593" s="1301"/>
      <c r="C593" s="1310" t="s">
        <v>252</v>
      </c>
      <c r="D593" s="1301"/>
      <c r="E593" s="1301"/>
      <c r="F593" s="994"/>
      <c r="G593" s="987"/>
      <c r="H593" s="760" t="s">
        <v>46</v>
      </c>
      <c r="I593" s="1372">
        <f ca="1">IFERROR(__xludf.DUMMYFUNCTION("IMPORTRANGE(""https://docs.google.com/spreadsheets/d/1QqKyyYR6Q21VydFLVH3TRQUabQu_ym0Zz7PgGX0-kHA/edit?usp=sharing"",""แผน!HJ51"")"),1760.88)</f>
        <v>1760.88</v>
      </c>
      <c r="J593" s="998">
        <f t="shared" ref="J593:J594" si="255">J595+J603+J609</f>
        <v>1.58</v>
      </c>
      <c r="K593" s="1142">
        <f t="shared" ca="1" si="254"/>
        <v>8.9727863341056743E-2</v>
      </c>
      <c r="L593" s="978"/>
      <c r="M593" s="978"/>
      <c r="N593" s="978"/>
      <c r="O593" s="978"/>
      <c r="P593" s="978"/>
      <c r="Q593" s="1277"/>
      <c r="R593" s="1277"/>
      <c r="S593" s="1277"/>
      <c r="T593" s="1277"/>
      <c r="U593" s="1277"/>
      <c r="V593" s="1277"/>
      <c r="W593" s="1277"/>
      <c r="X593" s="1277"/>
      <c r="Y593" s="1277"/>
      <c r="Z593" s="1277"/>
    </row>
    <row r="594" spans="1:26" ht="19.5">
      <c r="A594" s="1300"/>
      <c r="B594" s="1301"/>
      <c r="C594" s="1301"/>
      <c r="D594" s="1301"/>
      <c r="E594" s="994"/>
      <c r="F594" s="994"/>
      <c r="G594" s="987"/>
      <c r="H594" s="760" t="s">
        <v>34</v>
      </c>
      <c r="I594" s="998">
        <f ca="1">IFERROR(__xludf.DUMMYFUNCTION("IMPORTRANGE(""https://docs.google.com/spreadsheets/d/1QqKyyYR6Q21VydFLVH3TRQUabQu_ym0Zz7PgGX0-kHA/edit?usp=sharing"",""แผน!HI51"")"),128)</f>
        <v>128</v>
      </c>
      <c r="J594" s="998">
        <f t="shared" si="255"/>
        <v>5</v>
      </c>
      <c r="K594" s="1142">
        <f t="shared" ca="1" si="254"/>
        <v>3.90625</v>
      </c>
      <c r="L594" s="978"/>
      <c r="M594" s="978"/>
      <c r="N594" s="978"/>
      <c r="O594" s="978"/>
      <c r="P594" s="978"/>
      <c r="Q594" s="1277"/>
      <c r="R594" s="1277"/>
      <c r="S594" s="1277"/>
      <c r="T594" s="1277"/>
      <c r="U594" s="1277"/>
      <c r="V594" s="1277"/>
      <c r="W594" s="1277"/>
      <c r="X594" s="1277"/>
      <c r="Y594" s="1277"/>
      <c r="Z594" s="1277"/>
    </row>
    <row r="595" spans="1:26" ht="18.75">
      <c r="A595" s="1300"/>
      <c r="B595" s="1301"/>
      <c r="C595" s="1301" t="s">
        <v>253</v>
      </c>
      <c r="D595" s="1301"/>
      <c r="E595" s="1301"/>
      <c r="F595" s="994"/>
      <c r="G595" s="987"/>
      <c r="H595" s="757" t="s">
        <v>46</v>
      </c>
      <c r="I595" s="977"/>
      <c r="J595" s="977">
        <f t="shared" ref="J595:J596" si="256">J597+J599</f>
        <v>1.58</v>
      </c>
      <c r="K595" s="978"/>
      <c r="L595" s="978"/>
      <c r="M595" s="978"/>
      <c r="N595" s="978"/>
      <c r="O595" s="978"/>
      <c r="P595" s="978"/>
      <c r="Q595" s="1277"/>
      <c r="R595" s="1277"/>
      <c r="S595" s="1277"/>
      <c r="T595" s="1277"/>
      <c r="U595" s="1277"/>
      <c r="V595" s="1277"/>
      <c r="W595" s="1277"/>
      <c r="X595" s="1277"/>
      <c r="Y595" s="1277"/>
      <c r="Z595" s="1277"/>
    </row>
    <row r="596" spans="1:26" ht="18.75">
      <c r="A596" s="1300"/>
      <c r="B596" s="1301"/>
      <c r="C596" s="1301"/>
      <c r="D596" s="1301"/>
      <c r="E596" s="994"/>
      <c r="F596" s="994"/>
      <c r="G596" s="987"/>
      <c r="H596" s="757" t="s">
        <v>34</v>
      </c>
      <c r="I596" s="977"/>
      <c r="J596" s="977">
        <f t="shared" si="256"/>
        <v>5</v>
      </c>
      <c r="K596" s="978"/>
      <c r="L596" s="978"/>
      <c r="M596" s="978"/>
      <c r="N596" s="978"/>
      <c r="O596" s="978"/>
      <c r="P596" s="978"/>
      <c r="Q596" s="1277"/>
      <c r="R596" s="1277"/>
      <c r="S596" s="1277"/>
      <c r="T596" s="1277"/>
      <c r="U596" s="1277"/>
      <c r="V596" s="1277"/>
      <c r="W596" s="1277"/>
      <c r="X596" s="1277"/>
      <c r="Y596" s="1277"/>
      <c r="Z596" s="1277"/>
    </row>
    <row r="597" spans="1:26" ht="18.75">
      <c r="A597" s="1300"/>
      <c r="B597" s="1301"/>
      <c r="C597" s="1301"/>
      <c r="D597" s="1050" t="s">
        <v>254</v>
      </c>
      <c r="E597" s="994"/>
      <c r="F597" s="994"/>
      <c r="G597" s="987"/>
      <c r="H597" s="757" t="s">
        <v>46</v>
      </c>
      <c r="I597" s="977"/>
      <c r="J597" s="992">
        <v>1.58</v>
      </c>
      <c r="K597" s="978"/>
      <c r="L597" s="978"/>
      <c r="M597" s="978"/>
      <c r="N597" s="978"/>
      <c r="O597" s="978"/>
      <c r="P597" s="978"/>
      <c r="Q597" s="1277"/>
      <c r="R597" s="1277"/>
      <c r="S597" s="1277"/>
      <c r="T597" s="1277"/>
      <c r="U597" s="1277"/>
      <c r="V597" s="1277"/>
      <c r="W597" s="1277"/>
      <c r="X597" s="1277"/>
      <c r="Y597" s="1277"/>
      <c r="Z597" s="1277"/>
    </row>
    <row r="598" spans="1:26" ht="18.75">
      <c r="A598" s="1300"/>
      <c r="B598" s="1301"/>
      <c r="C598" s="1301"/>
      <c r="D598" s="1301"/>
      <c r="E598" s="994"/>
      <c r="F598" s="994"/>
      <c r="G598" s="987"/>
      <c r="H598" s="757" t="s">
        <v>34</v>
      </c>
      <c r="I598" s="863"/>
      <c r="J598" s="992">
        <v>5</v>
      </c>
      <c r="K598" s="978"/>
      <c r="L598" s="978"/>
      <c r="M598" s="978"/>
      <c r="N598" s="978"/>
      <c r="O598" s="978"/>
      <c r="P598" s="978"/>
      <c r="Q598" s="1277"/>
      <c r="R598" s="1277"/>
      <c r="S598" s="1277"/>
      <c r="T598" s="1277"/>
      <c r="U598" s="1277"/>
      <c r="V598" s="1277"/>
      <c r="W598" s="1277"/>
      <c r="X598" s="1277"/>
      <c r="Y598" s="1277"/>
      <c r="Z598" s="1277"/>
    </row>
    <row r="599" spans="1:26" ht="18.75">
      <c r="A599" s="1300"/>
      <c r="B599" s="1301"/>
      <c r="C599" s="1301"/>
      <c r="D599" s="1050" t="s">
        <v>255</v>
      </c>
      <c r="E599" s="994"/>
      <c r="F599" s="994"/>
      <c r="G599" s="987"/>
      <c r="H599" s="757" t="s">
        <v>46</v>
      </c>
      <c r="I599" s="863"/>
      <c r="J599" s="992">
        <v>0</v>
      </c>
      <c r="K599" s="978"/>
      <c r="L599" s="978"/>
      <c r="M599" s="978"/>
      <c r="N599" s="978"/>
      <c r="O599" s="978"/>
      <c r="P599" s="978"/>
      <c r="Q599" s="1277"/>
      <c r="R599" s="1277"/>
      <c r="S599" s="1277"/>
      <c r="T599" s="1277"/>
      <c r="U599" s="1277"/>
      <c r="V599" s="1277"/>
      <c r="W599" s="1277"/>
      <c r="X599" s="1277"/>
      <c r="Y599" s="1277"/>
      <c r="Z599" s="1277"/>
    </row>
    <row r="600" spans="1:26" ht="18.75">
      <c r="A600" s="1300"/>
      <c r="B600" s="1301"/>
      <c r="C600" s="1301"/>
      <c r="D600" s="1301"/>
      <c r="E600" s="994"/>
      <c r="F600" s="994"/>
      <c r="G600" s="987"/>
      <c r="H600" s="757" t="s">
        <v>34</v>
      </c>
      <c r="I600" s="863"/>
      <c r="J600" s="992">
        <v>0</v>
      </c>
      <c r="K600" s="978"/>
      <c r="L600" s="978"/>
      <c r="M600" s="978"/>
      <c r="N600" s="978"/>
      <c r="O600" s="978"/>
      <c r="P600" s="978"/>
      <c r="Q600" s="1277"/>
      <c r="R600" s="1277"/>
      <c r="S600" s="1277"/>
      <c r="T600" s="1277"/>
      <c r="U600" s="1277"/>
      <c r="V600" s="1277"/>
      <c r="W600" s="1277"/>
      <c r="X600" s="1277"/>
      <c r="Y600" s="1277"/>
      <c r="Z600" s="1277"/>
    </row>
    <row r="601" spans="1:26" ht="18.75">
      <c r="A601" s="1300"/>
      <c r="B601" s="1301"/>
      <c r="C601" s="1301"/>
      <c r="D601" s="1050" t="s">
        <v>256</v>
      </c>
      <c r="E601" s="994"/>
      <c r="F601" s="994"/>
      <c r="G601" s="987"/>
      <c r="H601" s="757" t="s">
        <v>46</v>
      </c>
      <c r="I601" s="863"/>
      <c r="J601" s="992">
        <v>0</v>
      </c>
      <c r="K601" s="978"/>
      <c r="L601" s="978"/>
      <c r="M601" s="978"/>
      <c r="N601" s="978"/>
      <c r="O601" s="978"/>
      <c r="P601" s="978"/>
      <c r="Q601" s="1277"/>
      <c r="R601" s="1277"/>
      <c r="S601" s="1277"/>
      <c r="T601" s="1277"/>
      <c r="U601" s="1277"/>
      <c r="V601" s="1277"/>
      <c r="W601" s="1277"/>
      <c r="X601" s="1277"/>
      <c r="Y601" s="1277"/>
      <c r="Z601" s="1277"/>
    </row>
    <row r="602" spans="1:26" ht="18.75">
      <c r="A602" s="1300"/>
      <c r="B602" s="1301"/>
      <c r="C602" s="1301"/>
      <c r="D602" s="1301"/>
      <c r="E602" s="994"/>
      <c r="F602" s="994"/>
      <c r="G602" s="987"/>
      <c r="H602" s="757" t="s">
        <v>34</v>
      </c>
      <c r="I602" s="863"/>
      <c r="J602" s="992">
        <v>0</v>
      </c>
      <c r="K602" s="978"/>
      <c r="L602" s="978"/>
      <c r="M602" s="978"/>
      <c r="N602" s="978"/>
      <c r="O602" s="978"/>
      <c r="P602" s="978"/>
      <c r="Q602" s="1277"/>
      <c r="R602" s="1277"/>
      <c r="S602" s="1277"/>
      <c r="T602" s="1277"/>
      <c r="U602" s="1277"/>
      <c r="V602" s="1277"/>
      <c r="W602" s="1277"/>
      <c r="X602" s="1277"/>
      <c r="Y602" s="1277"/>
      <c r="Z602" s="1277"/>
    </row>
    <row r="603" spans="1:26" ht="18.75">
      <c r="A603" s="1300"/>
      <c r="B603" s="1301"/>
      <c r="C603" s="1373" t="s">
        <v>257</v>
      </c>
      <c r="D603" s="1301"/>
      <c r="E603" s="1301"/>
      <c r="F603" s="994"/>
      <c r="G603" s="987"/>
      <c r="H603" s="757" t="s">
        <v>46</v>
      </c>
      <c r="I603" s="863"/>
      <c r="J603" s="863">
        <f t="shared" ref="J603:J604" si="257">J605+J607</f>
        <v>0</v>
      </c>
      <c r="K603" s="978"/>
      <c r="L603" s="978"/>
      <c r="M603" s="978"/>
      <c r="N603" s="978"/>
      <c r="O603" s="978"/>
      <c r="P603" s="978"/>
      <c r="Q603" s="1277"/>
      <c r="R603" s="1277"/>
      <c r="S603" s="1277"/>
      <c r="T603" s="1277"/>
      <c r="U603" s="1277"/>
      <c r="V603" s="1277"/>
      <c r="W603" s="1277"/>
      <c r="X603" s="1277"/>
      <c r="Y603" s="1277"/>
      <c r="Z603" s="1277"/>
    </row>
    <row r="604" spans="1:26" ht="18.75">
      <c r="A604" s="1300"/>
      <c r="B604" s="1301"/>
      <c r="C604" s="1301"/>
      <c r="D604" s="1301"/>
      <c r="E604" s="994"/>
      <c r="F604" s="994"/>
      <c r="G604" s="987"/>
      <c r="H604" s="757" t="s">
        <v>34</v>
      </c>
      <c r="I604" s="863"/>
      <c r="J604" s="863">
        <f t="shared" si="257"/>
        <v>0</v>
      </c>
      <c r="K604" s="978"/>
      <c r="L604" s="978"/>
      <c r="M604" s="978"/>
      <c r="N604" s="978"/>
      <c r="O604" s="978"/>
      <c r="P604" s="978"/>
      <c r="Q604" s="1277"/>
      <c r="R604" s="1277"/>
      <c r="S604" s="1277"/>
      <c r="T604" s="1277"/>
      <c r="U604" s="1277"/>
      <c r="V604" s="1277"/>
      <c r="W604" s="1277"/>
      <c r="X604" s="1277"/>
      <c r="Y604" s="1277"/>
      <c r="Z604" s="1277"/>
    </row>
    <row r="605" spans="1:26" ht="18.75">
      <c r="A605" s="1300"/>
      <c r="B605" s="1301"/>
      <c r="C605" s="1301"/>
      <c r="D605" s="1373" t="s">
        <v>258</v>
      </c>
      <c r="E605" s="994"/>
      <c r="F605" s="994"/>
      <c r="G605" s="987"/>
      <c r="H605" s="757" t="s">
        <v>46</v>
      </c>
      <c r="I605" s="863"/>
      <c r="J605" s="992">
        <v>0</v>
      </c>
      <c r="K605" s="978"/>
      <c r="L605" s="978"/>
      <c r="M605" s="978"/>
      <c r="N605" s="978"/>
      <c r="O605" s="978"/>
      <c r="P605" s="978"/>
      <c r="Q605" s="1277"/>
      <c r="R605" s="1277"/>
      <c r="S605" s="1277"/>
      <c r="T605" s="1277"/>
      <c r="U605" s="1277"/>
      <c r="V605" s="1277"/>
      <c r="W605" s="1277"/>
      <c r="X605" s="1277"/>
      <c r="Y605" s="1277"/>
      <c r="Z605" s="1277"/>
    </row>
    <row r="606" spans="1:26" ht="18.75">
      <c r="A606" s="1300"/>
      <c r="B606" s="1301"/>
      <c r="C606" s="1301"/>
      <c r="D606" s="1301"/>
      <c r="E606" s="1301"/>
      <c r="F606" s="994"/>
      <c r="G606" s="987"/>
      <c r="H606" s="757" t="s">
        <v>34</v>
      </c>
      <c r="I606" s="863"/>
      <c r="J606" s="992">
        <v>0</v>
      </c>
      <c r="K606" s="978"/>
      <c r="L606" s="978"/>
      <c r="M606" s="978"/>
      <c r="N606" s="978"/>
      <c r="O606" s="978"/>
      <c r="P606" s="978"/>
      <c r="Q606" s="1277"/>
      <c r="R606" s="1277"/>
      <c r="S606" s="1277"/>
      <c r="T606" s="1277"/>
      <c r="U606" s="1277"/>
      <c r="V606" s="1277"/>
      <c r="W606" s="1277"/>
      <c r="X606" s="1277"/>
      <c r="Y606" s="1277"/>
      <c r="Z606" s="1277"/>
    </row>
    <row r="607" spans="1:26" ht="18.75">
      <c r="A607" s="1300"/>
      <c r="B607" s="1301"/>
      <c r="C607" s="1301"/>
      <c r="D607" s="1373" t="s">
        <v>259</v>
      </c>
      <c r="E607" s="1301"/>
      <c r="F607" s="994"/>
      <c r="G607" s="987"/>
      <c r="H607" s="757" t="s">
        <v>46</v>
      </c>
      <c r="I607" s="863"/>
      <c r="J607" s="992">
        <v>0</v>
      </c>
      <c r="K607" s="978"/>
      <c r="L607" s="978"/>
      <c r="M607" s="978"/>
      <c r="N607" s="978"/>
      <c r="O607" s="978"/>
      <c r="P607" s="978"/>
      <c r="Q607" s="1277"/>
      <c r="R607" s="1277"/>
      <c r="S607" s="1277"/>
      <c r="T607" s="1277"/>
      <c r="U607" s="1277"/>
      <c r="V607" s="1277"/>
      <c r="W607" s="1277"/>
      <c r="X607" s="1277"/>
      <c r="Y607" s="1277"/>
      <c r="Z607" s="1277"/>
    </row>
    <row r="608" spans="1:26" ht="18.75">
      <c r="A608" s="1300"/>
      <c r="B608" s="1301"/>
      <c r="C608" s="1301"/>
      <c r="D608" s="1301"/>
      <c r="E608" s="994"/>
      <c r="F608" s="994"/>
      <c r="G608" s="987"/>
      <c r="H608" s="757" t="s">
        <v>34</v>
      </c>
      <c r="I608" s="863"/>
      <c r="J608" s="992">
        <v>0</v>
      </c>
      <c r="K608" s="978"/>
      <c r="L608" s="978"/>
      <c r="M608" s="978"/>
      <c r="N608" s="978"/>
      <c r="O608" s="978"/>
      <c r="P608" s="978"/>
      <c r="Q608" s="1277"/>
      <c r="R608" s="1277"/>
      <c r="S608" s="1277"/>
      <c r="T608" s="1277"/>
      <c r="U608" s="1277"/>
      <c r="V608" s="1277"/>
      <c r="W608" s="1277"/>
      <c r="X608" s="1277"/>
      <c r="Y608" s="1277"/>
      <c r="Z608" s="1277"/>
    </row>
    <row r="609" spans="1:26" ht="18.75">
      <c r="A609" s="1300"/>
      <c r="B609" s="1301"/>
      <c r="C609" s="1301" t="s">
        <v>260</v>
      </c>
      <c r="D609" s="1301"/>
      <c r="E609" s="1301"/>
      <c r="F609" s="994"/>
      <c r="G609" s="987"/>
      <c r="H609" s="757" t="s">
        <v>46</v>
      </c>
      <c r="I609" s="863"/>
      <c r="J609" s="992">
        <v>0</v>
      </c>
      <c r="K609" s="978"/>
      <c r="L609" s="978"/>
      <c r="M609" s="978"/>
      <c r="N609" s="978"/>
      <c r="O609" s="978"/>
      <c r="P609" s="978"/>
      <c r="Q609" s="1277"/>
      <c r="R609" s="1277"/>
      <c r="S609" s="1277"/>
      <c r="T609" s="1277"/>
      <c r="U609" s="1277"/>
      <c r="V609" s="1277"/>
      <c r="W609" s="1277"/>
      <c r="X609" s="1277"/>
      <c r="Y609" s="1277"/>
      <c r="Z609" s="1277"/>
    </row>
    <row r="610" spans="1:26" ht="18.75">
      <c r="A610" s="1300"/>
      <c r="B610" s="1301"/>
      <c r="C610" s="1301"/>
      <c r="D610" s="1301"/>
      <c r="E610" s="994"/>
      <c r="F610" s="994"/>
      <c r="G610" s="987"/>
      <c r="H610" s="757" t="s">
        <v>34</v>
      </c>
      <c r="I610" s="863"/>
      <c r="J610" s="992">
        <v>0</v>
      </c>
      <c r="K610" s="978"/>
      <c r="L610" s="978"/>
      <c r="M610" s="978"/>
      <c r="N610" s="978"/>
      <c r="O610" s="978"/>
      <c r="P610" s="978"/>
      <c r="Q610" s="1277"/>
      <c r="R610" s="1277"/>
      <c r="S610" s="1277"/>
      <c r="T610" s="1277"/>
      <c r="U610" s="1277"/>
      <c r="V610" s="1277"/>
      <c r="W610" s="1277"/>
      <c r="X610" s="1277"/>
      <c r="Y610" s="1277"/>
      <c r="Z610" s="1277"/>
    </row>
    <row r="611" spans="1:26" ht="19.5">
      <c r="A611" s="1362"/>
      <c r="B611" s="1374" t="s">
        <v>261</v>
      </c>
      <c r="C611" s="1364"/>
      <c r="D611" s="1364"/>
      <c r="E611" s="1348"/>
      <c r="F611" s="1348"/>
      <c r="G611" s="1349"/>
      <c r="H611" s="700" t="s">
        <v>46</v>
      </c>
      <c r="I611" s="1350">
        <v>0</v>
      </c>
      <c r="J611" s="1350">
        <f>J614+J616</f>
        <v>0</v>
      </c>
      <c r="K611" s="1351">
        <f t="shared" ref="K611:K613" si="258">IF(I611&gt;0,J611*100/I611,0)</f>
        <v>0</v>
      </c>
      <c r="L611" s="1352"/>
      <c r="M611" s="1352"/>
      <c r="N611" s="1352"/>
      <c r="O611" s="1352"/>
      <c r="P611" s="1352"/>
      <c r="Q611" s="1277"/>
      <c r="R611" s="1277"/>
      <c r="S611" s="1277"/>
      <c r="T611" s="1277"/>
      <c r="U611" s="1277"/>
      <c r="V611" s="1277"/>
      <c r="W611" s="1277"/>
      <c r="X611" s="1277"/>
      <c r="Y611" s="1277"/>
      <c r="Z611" s="1277"/>
    </row>
    <row r="612" spans="1:26" ht="19.5" hidden="1">
      <c r="A612" s="1375"/>
      <c r="B612" s="1376"/>
      <c r="C612" s="1377" t="s">
        <v>262</v>
      </c>
      <c r="D612" s="1376"/>
      <c r="E612" s="1376"/>
      <c r="F612" s="1378"/>
      <c r="G612" s="1379"/>
      <c r="H612" s="707" t="s">
        <v>46</v>
      </c>
      <c r="I612" s="1380">
        <v>0</v>
      </c>
      <c r="J612" s="1380">
        <f t="shared" ref="J612:J613" si="259">J614+J616</f>
        <v>0</v>
      </c>
      <c r="K612" s="1381">
        <f t="shared" si="258"/>
        <v>0</v>
      </c>
      <c r="L612" s="1382"/>
      <c r="M612" s="1382"/>
      <c r="N612" s="1382"/>
      <c r="O612" s="1382"/>
      <c r="P612" s="1382"/>
      <c r="Q612" s="1297"/>
      <c r="R612" s="1297"/>
      <c r="S612" s="1297"/>
      <c r="T612" s="1297"/>
      <c r="U612" s="1297"/>
      <c r="V612" s="1297"/>
      <c r="W612" s="1297"/>
      <c r="X612" s="1297"/>
      <c r="Y612" s="1297"/>
      <c r="Z612" s="1297"/>
    </row>
    <row r="613" spans="1:26" ht="19.5" hidden="1">
      <c r="A613" s="1375"/>
      <c r="B613" s="1376"/>
      <c r="C613" s="1376" t="s">
        <v>263</v>
      </c>
      <c r="D613" s="1376"/>
      <c r="E613" s="1376"/>
      <c r="F613" s="1378"/>
      <c r="G613" s="1379"/>
      <c r="H613" s="707" t="s">
        <v>34</v>
      </c>
      <c r="I613" s="1380">
        <v>0</v>
      </c>
      <c r="J613" s="1380">
        <f t="shared" si="259"/>
        <v>0</v>
      </c>
      <c r="K613" s="1381">
        <f t="shared" si="258"/>
        <v>0</v>
      </c>
      <c r="L613" s="1382"/>
      <c r="M613" s="1382"/>
      <c r="N613" s="1382"/>
      <c r="O613" s="1382"/>
      <c r="P613" s="1382"/>
      <c r="Q613" s="1297"/>
      <c r="R613" s="1297"/>
      <c r="S613" s="1297"/>
      <c r="T613" s="1297"/>
      <c r="U613" s="1297"/>
      <c r="V613" s="1297"/>
      <c r="W613" s="1297"/>
      <c r="X613" s="1297"/>
      <c r="Y613" s="1297"/>
      <c r="Z613" s="1297"/>
    </row>
    <row r="614" spans="1:26" ht="18.75" hidden="1">
      <c r="A614" s="1306"/>
      <c r="B614" s="1307"/>
      <c r="C614" s="1307"/>
      <c r="D614" s="1295" t="s">
        <v>264</v>
      </c>
      <c r="E614" s="1307"/>
      <c r="F614" s="1295"/>
      <c r="G614" s="1092"/>
      <c r="H614" s="370" t="s">
        <v>46</v>
      </c>
      <c r="I614" s="869"/>
      <c r="J614" s="869">
        <v>0</v>
      </c>
      <c r="K614" s="981"/>
      <c r="L614" s="981"/>
      <c r="M614" s="981"/>
      <c r="N614" s="981"/>
      <c r="O614" s="981"/>
      <c r="P614" s="981"/>
      <c r="Q614" s="1297"/>
      <c r="R614" s="1297"/>
      <c r="S614" s="1297"/>
      <c r="T614" s="1297"/>
      <c r="U614" s="1297"/>
      <c r="V614" s="1297"/>
      <c r="W614" s="1297"/>
      <c r="X614" s="1297"/>
      <c r="Y614" s="1297"/>
      <c r="Z614" s="1297"/>
    </row>
    <row r="615" spans="1:26" ht="18.75" hidden="1">
      <c r="A615" s="1306"/>
      <c r="B615" s="1307"/>
      <c r="C615" s="1307"/>
      <c r="D615" s="1307"/>
      <c r="E615" s="1307"/>
      <c r="F615" s="1295"/>
      <c r="G615" s="1092"/>
      <c r="H615" s="370" t="s">
        <v>34</v>
      </c>
      <c r="I615" s="869"/>
      <c r="J615" s="869">
        <v>0</v>
      </c>
      <c r="K615" s="981"/>
      <c r="L615" s="981"/>
      <c r="M615" s="981"/>
      <c r="N615" s="981"/>
      <c r="O615" s="981"/>
      <c r="P615" s="981"/>
      <c r="Q615" s="1297"/>
      <c r="R615" s="1297"/>
      <c r="S615" s="1297"/>
      <c r="T615" s="1297"/>
      <c r="U615" s="1297"/>
      <c r="V615" s="1297"/>
      <c r="W615" s="1297"/>
      <c r="X615" s="1297"/>
      <c r="Y615" s="1297"/>
      <c r="Z615" s="1297"/>
    </row>
    <row r="616" spans="1:26" ht="18.75" hidden="1">
      <c r="A616" s="1306"/>
      <c r="B616" s="1307"/>
      <c r="C616" s="1307"/>
      <c r="D616" s="1383" t="s">
        <v>264</v>
      </c>
      <c r="E616" s="1295"/>
      <c r="F616" s="1295"/>
      <c r="G616" s="1092"/>
      <c r="H616" s="370" t="s">
        <v>46</v>
      </c>
      <c r="I616" s="869"/>
      <c r="J616" s="869">
        <v>0</v>
      </c>
      <c r="K616" s="981"/>
      <c r="L616" s="981"/>
      <c r="M616" s="981"/>
      <c r="N616" s="981"/>
      <c r="O616" s="981"/>
      <c r="P616" s="981"/>
      <c r="Q616" s="1297"/>
      <c r="R616" s="1297"/>
      <c r="S616" s="1297"/>
      <c r="T616" s="1297"/>
      <c r="U616" s="1297"/>
      <c r="V616" s="1297"/>
      <c r="W616" s="1297"/>
      <c r="X616" s="1297"/>
      <c r="Y616" s="1297"/>
      <c r="Z616" s="1297"/>
    </row>
    <row r="617" spans="1:26" ht="18.75" hidden="1">
      <c r="A617" s="1306"/>
      <c r="B617" s="1307"/>
      <c r="C617" s="1307"/>
      <c r="D617" s="1307"/>
      <c r="E617" s="1295"/>
      <c r="F617" s="1295"/>
      <c r="G617" s="1092"/>
      <c r="H617" s="370" t="s">
        <v>34</v>
      </c>
      <c r="I617" s="869"/>
      <c r="J617" s="869">
        <v>0</v>
      </c>
      <c r="K617" s="981"/>
      <c r="L617" s="981"/>
      <c r="M617" s="981"/>
      <c r="N617" s="981"/>
      <c r="O617" s="981"/>
      <c r="P617" s="981"/>
      <c r="Q617" s="1297"/>
      <c r="R617" s="1297"/>
      <c r="S617" s="1297"/>
      <c r="T617" s="1297"/>
      <c r="U617" s="1297"/>
      <c r="V617" s="1297"/>
      <c r="W617" s="1297"/>
      <c r="X617" s="1297"/>
      <c r="Y617" s="1297"/>
      <c r="Z617" s="1297"/>
    </row>
    <row r="618" spans="1:26" ht="18.75" hidden="1">
      <c r="A618" s="1306"/>
      <c r="B618" s="1307"/>
      <c r="C618" s="1307"/>
      <c r="D618" s="1383" t="s">
        <v>265</v>
      </c>
      <c r="E618" s="1295"/>
      <c r="F618" s="1295"/>
      <c r="G618" s="1092"/>
      <c r="H618" s="370" t="s">
        <v>46</v>
      </c>
      <c r="I618" s="869"/>
      <c r="J618" s="869">
        <v>0</v>
      </c>
      <c r="K618" s="981"/>
      <c r="L618" s="981"/>
      <c r="M618" s="981"/>
      <c r="N618" s="981"/>
      <c r="O618" s="981"/>
      <c r="P618" s="981"/>
      <c r="Q618" s="1297"/>
      <c r="R618" s="1297"/>
      <c r="S618" s="1297"/>
      <c r="T618" s="1297"/>
      <c r="U618" s="1297"/>
      <c r="V618" s="1297"/>
      <c r="W618" s="1297"/>
      <c r="X618" s="1297"/>
      <c r="Y618" s="1297"/>
      <c r="Z618" s="1297"/>
    </row>
    <row r="619" spans="1:26" ht="18.75" hidden="1">
      <c r="A619" s="1306"/>
      <c r="B619" s="1307"/>
      <c r="C619" s="1307"/>
      <c r="D619" s="1307"/>
      <c r="E619" s="1295"/>
      <c r="F619" s="1295"/>
      <c r="G619" s="1092"/>
      <c r="H619" s="370" t="s">
        <v>34</v>
      </c>
      <c r="I619" s="869"/>
      <c r="J619" s="869">
        <v>0</v>
      </c>
      <c r="K619" s="981"/>
      <c r="L619" s="981"/>
      <c r="M619" s="981"/>
      <c r="N619" s="981"/>
      <c r="O619" s="981"/>
      <c r="P619" s="981"/>
      <c r="Q619" s="1297"/>
      <c r="R619" s="1297"/>
      <c r="S619" s="1297"/>
      <c r="T619" s="1297"/>
      <c r="U619" s="1297"/>
      <c r="V619" s="1297"/>
      <c r="W619" s="1297"/>
      <c r="X619" s="1297"/>
      <c r="Y619" s="1297"/>
      <c r="Z619" s="1297"/>
    </row>
    <row r="620" spans="1:26" ht="19.5">
      <c r="A620" s="1384"/>
      <c r="B620" s="1385"/>
      <c r="C620" s="1386" t="s">
        <v>266</v>
      </c>
      <c r="D620" s="1385"/>
      <c r="E620" s="1385"/>
      <c r="F620" s="1387"/>
      <c r="G620" s="1388"/>
      <c r="H620" s="720" t="s">
        <v>46</v>
      </c>
      <c r="I620" s="1389">
        <f ca="1">IFERROR(__xludf.DUMMYFUNCTION("IMPORTRANGE(""https://docs.google.com/spreadsheets/d/1QqKyyYR6Q21VydFLVH3TRQUabQu_ym0Zz7PgGX0-kHA/edit?usp=sharing"",""แผน!HL51"")"),70)</f>
        <v>70</v>
      </c>
      <c r="J620" s="1389">
        <f t="shared" ref="J620:J621" si="260">J622+J624+J626</f>
        <v>0</v>
      </c>
      <c r="K620" s="1390">
        <f t="shared" ref="K620:K621" ca="1" si="261">IF(I620&gt;0,J620*100/I620,0)</f>
        <v>0</v>
      </c>
      <c r="L620" s="1391"/>
      <c r="M620" s="1391"/>
      <c r="N620" s="1391"/>
      <c r="O620" s="1391"/>
      <c r="P620" s="1391"/>
      <c r="Q620" s="1277"/>
      <c r="R620" s="1277"/>
      <c r="S620" s="1277"/>
      <c r="T620" s="1277"/>
      <c r="U620" s="1277"/>
      <c r="V620" s="1277"/>
      <c r="W620" s="1277"/>
      <c r="X620" s="1277"/>
      <c r="Y620" s="1277"/>
      <c r="Z620" s="1277"/>
    </row>
    <row r="621" spans="1:26" ht="19.5">
      <c r="A621" s="1384"/>
      <c r="B621" s="1385"/>
      <c r="C621" s="1385" t="s">
        <v>267</v>
      </c>
      <c r="D621" s="1385"/>
      <c r="E621" s="1385"/>
      <c r="F621" s="1387"/>
      <c r="G621" s="1388"/>
      <c r="H621" s="720" t="s">
        <v>34</v>
      </c>
      <c r="I621" s="1389">
        <f ca="1">IFERROR(__xludf.DUMMYFUNCTION("IMPORTRANGE(""https://docs.google.com/spreadsheets/d/1QqKyyYR6Q21VydFLVH3TRQUabQu_ym0Zz7PgGX0-kHA/edit?usp=sharing"",""แผน!HK51"")"),3)</f>
        <v>3</v>
      </c>
      <c r="J621" s="1389">
        <f t="shared" si="260"/>
        <v>0</v>
      </c>
      <c r="K621" s="1390">
        <f t="shared" ca="1" si="261"/>
        <v>0</v>
      </c>
      <c r="L621" s="1391"/>
      <c r="M621" s="1391"/>
      <c r="N621" s="1391"/>
      <c r="O621" s="1391"/>
      <c r="P621" s="1391"/>
      <c r="Q621" s="1277"/>
      <c r="R621" s="1277"/>
      <c r="S621" s="1277"/>
      <c r="T621" s="1277"/>
      <c r="U621" s="1277"/>
      <c r="V621" s="1277"/>
      <c r="W621" s="1277"/>
      <c r="X621" s="1277"/>
      <c r="Y621" s="1277"/>
      <c r="Z621" s="1277"/>
    </row>
    <row r="622" spans="1:26" ht="18.75">
      <c r="A622" s="1300"/>
      <c r="B622" s="1301"/>
      <c r="C622" s="1301"/>
      <c r="D622" s="1050" t="s">
        <v>268</v>
      </c>
      <c r="E622" s="994"/>
      <c r="F622" s="994"/>
      <c r="G622" s="987"/>
      <c r="H622" s="757" t="s">
        <v>46</v>
      </c>
      <c r="I622" s="863"/>
      <c r="J622" s="992">
        <v>0</v>
      </c>
      <c r="K622" s="978"/>
      <c r="L622" s="978"/>
      <c r="M622" s="978"/>
      <c r="N622" s="978"/>
      <c r="O622" s="978"/>
      <c r="P622" s="978"/>
      <c r="Q622" s="1277"/>
      <c r="R622" s="1277"/>
      <c r="S622" s="1277"/>
      <c r="T622" s="1277"/>
      <c r="U622" s="1277"/>
      <c r="V622" s="1277"/>
      <c r="W622" s="1277"/>
      <c r="X622" s="1277"/>
      <c r="Y622" s="1277"/>
      <c r="Z622" s="1277"/>
    </row>
    <row r="623" spans="1:26" ht="18.75">
      <c r="A623" s="1300"/>
      <c r="B623" s="1301"/>
      <c r="C623" s="1301"/>
      <c r="D623" s="1301"/>
      <c r="E623" s="994"/>
      <c r="F623" s="994"/>
      <c r="G623" s="987"/>
      <c r="H623" s="757" t="s">
        <v>34</v>
      </c>
      <c r="I623" s="863"/>
      <c r="J623" s="992">
        <v>0</v>
      </c>
      <c r="K623" s="978"/>
      <c r="L623" s="978"/>
      <c r="M623" s="978"/>
      <c r="N623" s="978"/>
      <c r="O623" s="978"/>
      <c r="P623" s="978"/>
      <c r="Q623" s="1277"/>
      <c r="R623" s="1277"/>
      <c r="S623" s="1277"/>
      <c r="T623" s="1277"/>
      <c r="U623" s="1277"/>
      <c r="V623" s="1277"/>
      <c r="W623" s="1277"/>
      <c r="X623" s="1277"/>
      <c r="Y623" s="1277"/>
      <c r="Z623" s="1277"/>
    </row>
    <row r="624" spans="1:26" ht="18.75">
      <c r="A624" s="1300"/>
      <c r="B624" s="1301"/>
      <c r="C624" s="1301"/>
      <c r="D624" s="1050" t="s">
        <v>264</v>
      </c>
      <c r="E624" s="994"/>
      <c r="F624" s="994"/>
      <c r="G624" s="987"/>
      <c r="H624" s="757" t="s">
        <v>46</v>
      </c>
      <c r="I624" s="863"/>
      <c r="J624" s="992">
        <v>0</v>
      </c>
      <c r="K624" s="978"/>
      <c r="L624" s="978"/>
      <c r="M624" s="978"/>
      <c r="N624" s="978"/>
      <c r="O624" s="978"/>
      <c r="P624" s="978"/>
      <c r="Q624" s="1277"/>
      <c r="R624" s="1277"/>
      <c r="S624" s="1277"/>
      <c r="T624" s="1277"/>
      <c r="U624" s="1277"/>
      <c r="V624" s="1277"/>
      <c r="W624" s="1277"/>
      <c r="X624" s="1277"/>
      <c r="Y624" s="1277"/>
      <c r="Z624" s="1277"/>
    </row>
    <row r="625" spans="1:26" ht="18.75">
      <c r="A625" s="1300"/>
      <c r="B625" s="1301"/>
      <c r="C625" s="1301"/>
      <c r="D625" s="1301"/>
      <c r="E625" s="994"/>
      <c r="F625" s="994"/>
      <c r="G625" s="987"/>
      <c r="H625" s="757" t="s">
        <v>34</v>
      </c>
      <c r="I625" s="863"/>
      <c r="J625" s="992">
        <v>0</v>
      </c>
      <c r="K625" s="978"/>
      <c r="L625" s="978"/>
      <c r="M625" s="978"/>
      <c r="N625" s="978"/>
      <c r="O625" s="978"/>
      <c r="P625" s="978"/>
      <c r="Q625" s="1277"/>
      <c r="R625" s="1277"/>
      <c r="S625" s="1277"/>
      <c r="T625" s="1277"/>
      <c r="U625" s="1277"/>
      <c r="V625" s="1277"/>
      <c r="W625" s="1277"/>
      <c r="X625" s="1277"/>
      <c r="Y625" s="1277"/>
      <c r="Z625" s="1277"/>
    </row>
    <row r="626" spans="1:26" ht="18.75">
      <c r="A626" s="1300"/>
      <c r="B626" s="1301"/>
      <c r="C626" s="1301"/>
      <c r="D626" s="1050" t="s">
        <v>269</v>
      </c>
      <c r="E626" s="994"/>
      <c r="F626" s="994"/>
      <c r="G626" s="987"/>
      <c r="H626" s="757" t="s">
        <v>46</v>
      </c>
      <c r="I626" s="863"/>
      <c r="J626" s="992">
        <v>0</v>
      </c>
      <c r="K626" s="978"/>
      <c r="L626" s="978"/>
      <c r="M626" s="978"/>
      <c r="N626" s="978"/>
      <c r="O626" s="978"/>
      <c r="P626" s="978"/>
      <c r="Q626" s="1277"/>
      <c r="R626" s="1277"/>
      <c r="S626" s="1277"/>
      <c r="T626" s="1277"/>
      <c r="U626" s="1277"/>
      <c r="V626" s="1277"/>
      <c r="W626" s="1277"/>
      <c r="X626" s="1277"/>
      <c r="Y626" s="1277"/>
      <c r="Z626" s="1277"/>
    </row>
    <row r="627" spans="1:26" ht="18.75">
      <c r="A627" s="1392"/>
      <c r="B627" s="1393"/>
      <c r="C627" s="1393"/>
      <c r="D627" s="1393"/>
      <c r="E627" s="1149"/>
      <c r="F627" s="1149"/>
      <c r="G627" s="1394"/>
      <c r="H627" s="422" t="s">
        <v>34</v>
      </c>
      <c r="I627" s="1117"/>
      <c r="J627" s="1151">
        <v>0</v>
      </c>
      <c r="K627" s="1118"/>
      <c r="L627" s="1118"/>
      <c r="M627" s="1118"/>
      <c r="N627" s="1118"/>
      <c r="O627" s="1118"/>
      <c r="P627" s="1118"/>
      <c r="Q627" s="1277"/>
      <c r="R627" s="1277"/>
      <c r="S627" s="1277"/>
      <c r="T627" s="1277"/>
      <c r="U627" s="1277"/>
      <c r="V627" s="1277"/>
      <c r="W627" s="1277"/>
      <c r="X627" s="1277"/>
      <c r="Y627" s="1277"/>
      <c r="Z627" s="1277"/>
    </row>
    <row r="628" spans="1:26" ht="19.5">
      <c r="A628" s="729">
        <v>7</v>
      </c>
      <c r="B628" s="1395" t="s">
        <v>270</v>
      </c>
      <c r="C628" s="1396"/>
      <c r="D628" s="1396"/>
      <c r="E628" s="1396"/>
      <c r="F628" s="1396"/>
      <c r="G628" s="1397"/>
      <c r="H628" s="733" t="s">
        <v>35</v>
      </c>
      <c r="I628" s="1398">
        <f t="shared" ref="I628:J628" ca="1" si="262">I651</f>
        <v>250</v>
      </c>
      <c r="J628" s="1398">
        <f t="shared" ca="1" si="262"/>
        <v>0</v>
      </c>
      <c r="K628" s="1399">
        <f ca="1">IF(I628&gt;0,J628*100/I628,0)</f>
        <v>0</v>
      </c>
      <c r="L628" s="1400"/>
      <c r="M628" s="1400"/>
      <c r="N628" s="1400"/>
      <c r="O628" s="1400"/>
      <c r="P628" s="1400"/>
      <c r="Q628" s="1277"/>
      <c r="R628" s="1277"/>
      <c r="S628" s="1277"/>
      <c r="T628" s="1277"/>
      <c r="U628" s="1277"/>
      <c r="V628" s="1277"/>
      <c r="W628" s="1277"/>
      <c r="X628" s="1277"/>
      <c r="Y628" s="1277"/>
      <c r="Z628" s="1277"/>
    </row>
    <row r="629" spans="1:26" ht="19.5">
      <c r="A629" s="1292"/>
      <c r="B629" s="1276"/>
      <c r="C629" s="1276" t="s">
        <v>16</v>
      </c>
      <c r="D629" s="1555" t="s">
        <v>17</v>
      </c>
      <c r="E629" s="1533"/>
      <c r="F629" s="1533"/>
      <c r="G629" s="996"/>
      <c r="H629" s="592" t="s">
        <v>12</v>
      </c>
      <c r="I629" s="863"/>
      <c r="J629" s="863"/>
      <c r="K629" s="864"/>
      <c r="L629" s="1000">
        <f t="shared" ref="L629:N629" ca="1" si="263">L630+L631</f>
        <v>507280</v>
      </c>
      <c r="M629" s="1000">
        <f t="shared" si="263"/>
        <v>0</v>
      </c>
      <c r="N629" s="1000">
        <f t="shared" si="263"/>
        <v>216267</v>
      </c>
      <c r="O629" s="1000">
        <f t="shared" ref="O629:O634" ca="1" si="264">IF(L629&gt;0,N629*100/L629,0)</f>
        <v>42.632668348840873</v>
      </c>
      <c r="P629" s="1000">
        <f t="shared" ref="P629:P634" si="265">IF(M629&gt;0,N629*100/M629,0)</f>
        <v>0</v>
      </c>
      <c r="Q629" s="1277"/>
      <c r="R629" s="1277"/>
      <c r="S629" s="1277"/>
      <c r="T629" s="1277"/>
      <c r="U629" s="1277"/>
      <c r="V629" s="1277"/>
      <c r="W629" s="1277"/>
      <c r="X629" s="1277"/>
      <c r="Y629" s="1277"/>
      <c r="Z629" s="1277"/>
    </row>
    <row r="630" spans="1:26" ht="18.75" hidden="1">
      <c r="A630" s="1293"/>
      <c r="B630" s="1294"/>
      <c r="C630" s="1294"/>
      <c r="D630" s="1295"/>
      <c r="E630" s="1294" t="s">
        <v>184</v>
      </c>
      <c r="F630" s="1294"/>
      <c r="G630" s="1296"/>
      <c r="H630" s="165" t="s">
        <v>12</v>
      </c>
      <c r="I630" s="869"/>
      <c r="J630" s="869"/>
      <c r="K630" s="870"/>
      <c r="L630" s="870">
        <f t="shared" ref="L630:N631" si="266">L633+L640</f>
        <v>0</v>
      </c>
      <c r="M630" s="870">
        <f t="shared" si="266"/>
        <v>0</v>
      </c>
      <c r="N630" s="870">
        <f t="shared" si="266"/>
        <v>0</v>
      </c>
      <c r="O630" s="870">
        <f t="shared" si="264"/>
        <v>0</v>
      </c>
      <c r="P630" s="870">
        <f t="shared" si="265"/>
        <v>0</v>
      </c>
      <c r="Q630" s="1297"/>
      <c r="R630" s="1297"/>
      <c r="S630" s="1297"/>
      <c r="T630" s="1297"/>
      <c r="U630" s="1297"/>
      <c r="V630" s="1297"/>
      <c r="W630" s="1297"/>
      <c r="X630" s="1297"/>
      <c r="Y630" s="1297"/>
      <c r="Z630" s="1297"/>
    </row>
    <row r="631" spans="1:26" ht="18.75" hidden="1">
      <c r="A631" s="1293"/>
      <c r="B631" s="1298"/>
      <c r="C631" s="1294"/>
      <c r="D631" s="1295"/>
      <c r="E631" s="1294" t="s">
        <v>185</v>
      </c>
      <c r="F631" s="1294"/>
      <c r="G631" s="1296"/>
      <c r="H631" s="165" t="s">
        <v>12</v>
      </c>
      <c r="I631" s="869"/>
      <c r="J631" s="869"/>
      <c r="K631" s="870"/>
      <c r="L631" s="870">
        <f t="shared" ca="1" si="266"/>
        <v>507280</v>
      </c>
      <c r="M631" s="870">
        <f t="shared" si="266"/>
        <v>0</v>
      </c>
      <c r="N631" s="870">
        <f t="shared" si="266"/>
        <v>216267</v>
      </c>
      <c r="O631" s="870">
        <f t="shared" ca="1" si="264"/>
        <v>42.632668348840873</v>
      </c>
      <c r="P631" s="870">
        <f t="shared" si="265"/>
        <v>0</v>
      </c>
      <c r="Q631" s="1297"/>
      <c r="R631" s="1297"/>
      <c r="S631" s="1297"/>
      <c r="T631" s="1297"/>
      <c r="U631" s="1297"/>
      <c r="V631" s="1297"/>
      <c r="W631" s="1297"/>
      <c r="X631" s="1297"/>
      <c r="Y631" s="1297"/>
      <c r="Z631" s="1297"/>
    </row>
    <row r="632" spans="1:26" ht="18.75">
      <c r="A632" s="1292"/>
      <c r="B632" s="1275"/>
      <c r="C632" s="1276"/>
      <c r="D632" s="1299" t="s">
        <v>20</v>
      </c>
      <c r="E632" s="1276"/>
      <c r="F632" s="1276"/>
      <c r="G632" s="996"/>
      <c r="H632" s="161" t="s">
        <v>12</v>
      </c>
      <c r="I632" s="977"/>
      <c r="J632" s="977"/>
      <c r="K632" s="978"/>
      <c r="L632" s="864">
        <f t="shared" ref="L632:N632" ca="1" si="267">L633+L634</f>
        <v>507280</v>
      </c>
      <c r="M632" s="864">
        <f t="shared" si="267"/>
        <v>0</v>
      </c>
      <c r="N632" s="864">
        <f t="shared" si="267"/>
        <v>216267</v>
      </c>
      <c r="O632" s="864">
        <f t="shared" ca="1" si="264"/>
        <v>42.632668348840873</v>
      </c>
      <c r="P632" s="864">
        <f t="shared" si="265"/>
        <v>0</v>
      </c>
      <c r="Q632" s="1277"/>
      <c r="R632" s="1277"/>
      <c r="S632" s="1277"/>
      <c r="T632" s="1277"/>
      <c r="U632" s="1277"/>
      <c r="V632" s="1277"/>
      <c r="W632" s="1277"/>
      <c r="X632" s="1277"/>
      <c r="Y632" s="1277"/>
      <c r="Z632" s="1277"/>
    </row>
    <row r="633" spans="1:26" ht="18.75" hidden="1">
      <c r="A633" s="1293"/>
      <c r="B633" s="1298"/>
      <c r="C633" s="1294"/>
      <c r="D633" s="1295"/>
      <c r="E633" s="1294" t="s">
        <v>184</v>
      </c>
      <c r="F633" s="1294"/>
      <c r="G633" s="1296"/>
      <c r="H633" s="165" t="s">
        <v>12</v>
      </c>
      <c r="I633" s="869"/>
      <c r="J633" s="869"/>
      <c r="K633" s="870"/>
      <c r="L633" s="870">
        <v>0</v>
      </c>
      <c r="M633" s="870">
        <v>0</v>
      </c>
      <c r="N633" s="870">
        <v>0</v>
      </c>
      <c r="O633" s="870">
        <f t="shared" si="264"/>
        <v>0</v>
      </c>
      <c r="P633" s="870">
        <f t="shared" si="265"/>
        <v>0</v>
      </c>
      <c r="Q633" s="1297"/>
      <c r="R633" s="1297"/>
      <c r="S633" s="1297"/>
      <c r="T633" s="1297"/>
      <c r="U633" s="1297"/>
      <c r="V633" s="1297"/>
      <c r="W633" s="1297"/>
      <c r="X633" s="1297"/>
      <c r="Y633" s="1297"/>
      <c r="Z633" s="1297"/>
    </row>
    <row r="634" spans="1:26" ht="18.75" hidden="1">
      <c r="A634" s="1293"/>
      <c r="B634" s="1298"/>
      <c r="C634" s="1294"/>
      <c r="D634" s="1295"/>
      <c r="E634" s="1294" t="s">
        <v>185</v>
      </c>
      <c r="F634" s="1294"/>
      <c r="G634" s="1296"/>
      <c r="H634" s="165" t="s">
        <v>12</v>
      </c>
      <c r="I634" s="869"/>
      <c r="J634" s="869"/>
      <c r="K634" s="870"/>
      <c r="L634" s="870">
        <f ca="1">IFERROR(__xludf.DUMMYFUNCTION("IMPORTRANGE(""https://docs.google.com/spreadsheets/d/1QqKyyYR6Q21VydFLVH3TRQUabQu_ym0Zz7PgGX0-kHA/edit?usp=sharing"",""แผน!HN51"")"),507280)</f>
        <v>507280</v>
      </c>
      <c r="M634" s="870">
        <v>0</v>
      </c>
      <c r="N634" s="870">
        <f>N635+N636+N637+N638</f>
        <v>216267</v>
      </c>
      <c r="O634" s="870">
        <f t="shared" ca="1" si="264"/>
        <v>42.632668348840873</v>
      </c>
      <c r="P634" s="870">
        <f t="shared" si="265"/>
        <v>0</v>
      </c>
      <c r="Q634" s="1297"/>
      <c r="R634" s="1297"/>
      <c r="S634" s="1297"/>
      <c r="T634" s="1297"/>
      <c r="U634" s="1297"/>
      <c r="V634" s="1297"/>
      <c r="W634" s="1297"/>
      <c r="X634" s="1297"/>
      <c r="Y634" s="1297"/>
      <c r="Z634" s="1297"/>
    </row>
    <row r="635" spans="1:26" ht="18.75">
      <c r="A635" s="1274"/>
      <c r="B635" s="1275"/>
      <c r="C635" s="1276"/>
      <c r="D635" s="1276"/>
      <c r="E635" s="1276"/>
      <c r="F635" s="1276" t="s">
        <v>186</v>
      </c>
      <c r="G635" s="996"/>
      <c r="H635" s="161" t="s">
        <v>12</v>
      </c>
      <c r="I635" s="863"/>
      <c r="J635" s="863"/>
      <c r="K635" s="864"/>
      <c r="L635" s="864"/>
      <c r="M635" s="864"/>
      <c r="N635" s="1064">
        <v>0</v>
      </c>
      <c r="O635" s="864"/>
      <c r="P635" s="864"/>
      <c r="Q635" s="1277"/>
      <c r="R635" s="1277"/>
      <c r="S635" s="1277"/>
      <c r="T635" s="1277"/>
      <c r="U635" s="1277"/>
      <c r="V635" s="1277"/>
      <c r="W635" s="1277"/>
      <c r="X635" s="1277"/>
      <c r="Y635" s="1277"/>
      <c r="Z635" s="1277"/>
    </row>
    <row r="636" spans="1:26" ht="18.75">
      <c r="A636" s="1274"/>
      <c r="B636" s="1275"/>
      <c r="C636" s="1276"/>
      <c r="D636" s="1276"/>
      <c r="E636" s="1276"/>
      <c r="F636" s="1276" t="s">
        <v>187</v>
      </c>
      <c r="G636" s="996"/>
      <c r="H636" s="161" t="s">
        <v>12</v>
      </c>
      <c r="I636" s="863"/>
      <c r="J636" s="863"/>
      <c r="K636" s="864"/>
      <c r="L636" s="864"/>
      <c r="M636" s="864"/>
      <c r="N636" s="1064">
        <v>0</v>
      </c>
      <c r="O636" s="864"/>
      <c r="P636" s="864"/>
      <c r="Q636" s="1277"/>
      <c r="R636" s="1277"/>
      <c r="S636" s="1277"/>
      <c r="T636" s="1277"/>
      <c r="U636" s="1277"/>
      <c r="V636" s="1277"/>
      <c r="W636" s="1277"/>
      <c r="X636" s="1277"/>
      <c r="Y636" s="1277"/>
      <c r="Z636" s="1277"/>
    </row>
    <row r="637" spans="1:26" ht="18.75">
      <c r="A637" s="1274"/>
      <c r="B637" s="1275"/>
      <c r="C637" s="1276"/>
      <c r="D637" s="1276"/>
      <c r="E637" s="1276"/>
      <c r="F637" s="1276" t="s">
        <v>188</v>
      </c>
      <c r="G637" s="996"/>
      <c r="H637" s="161" t="s">
        <v>12</v>
      </c>
      <c r="I637" s="863"/>
      <c r="J637" s="863"/>
      <c r="K637" s="864"/>
      <c r="L637" s="864"/>
      <c r="M637" s="864"/>
      <c r="N637" s="1064">
        <v>64567</v>
      </c>
      <c r="O637" s="864"/>
      <c r="P637" s="864"/>
      <c r="Q637" s="1277"/>
      <c r="R637" s="1277"/>
      <c r="S637" s="1277"/>
      <c r="T637" s="1277"/>
      <c r="U637" s="1277"/>
      <c r="V637" s="1277"/>
      <c r="W637" s="1277"/>
      <c r="X637" s="1277"/>
      <c r="Y637" s="1277"/>
      <c r="Z637" s="1277"/>
    </row>
    <row r="638" spans="1:26" ht="18.75">
      <c r="A638" s="1274"/>
      <c r="B638" s="1275"/>
      <c r="C638" s="1276"/>
      <c r="D638" s="1276"/>
      <c r="E638" s="1276"/>
      <c r="F638" s="1276" t="s">
        <v>189</v>
      </c>
      <c r="G638" s="996"/>
      <c r="H638" s="161" t="s">
        <v>12</v>
      </c>
      <c r="I638" s="863"/>
      <c r="J638" s="863"/>
      <c r="K638" s="864"/>
      <c r="L638" s="864"/>
      <c r="M638" s="864"/>
      <c r="N638" s="1064">
        <f>44460+7500+7900+70080+9760+12000</f>
        <v>151700</v>
      </c>
      <c r="O638" s="864"/>
      <c r="P638" s="864"/>
      <c r="Q638" s="1277"/>
      <c r="R638" s="1277"/>
      <c r="S638" s="1277"/>
      <c r="T638" s="1277"/>
      <c r="U638" s="1277"/>
      <c r="V638" s="1277"/>
      <c r="W638" s="1277"/>
      <c r="X638" s="1277"/>
      <c r="Y638" s="1277"/>
      <c r="Z638" s="1277"/>
    </row>
    <row r="639" spans="1:26" ht="18.75">
      <c r="A639" s="1292"/>
      <c r="B639" s="1275"/>
      <c r="C639" s="1276"/>
      <c r="D639" s="1299" t="s">
        <v>21</v>
      </c>
      <c r="E639" s="1276"/>
      <c r="F639" s="1276"/>
      <c r="G639" s="996"/>
      <c r="H639" s="168" t="s">
        <v>12</v>
      </c>
      <c r="I639" s="977"/>
      <c r="J639" s="977"/>
      <c r="K639" s="978"/>
      <c r="L639" s="864">
        <f t="shared" ref="L639:N639" ca="1" si="268">L640+L641</f>
        <v>0</v>
      </c>
      <c r="M639" s="864">
        <f t="shared" si="268"/>
        <v>0</v>
      </c>
      <c r="N639" s="864">
        <f t="shared" si="268"/>
        <v>0</v>
      </c>
      <c r="O639" s="864">
        <f t="shared" ref="O639:O641" ca="1" si="269">IF(L639&gt;0,N639*100/L639,0)</f>
        <v>0</v>
      </c>
      <c r="P639" s="864">
        <f t="shared" ref="P639:P641" si="270">IF(M639&gt;0,N639*100/M639,0)</f>
        <v>0</v>
      </c>
      <c r="Q639" s="1277"/>
      <c r="R639" s="1277"/>
      <c r="S639" s="1277"/>
      <c r="T639" s="1277"/>
      <c r="U639" s="1277"/>
      <c r="V639" s="1277"/>
      <c r="W639" s="1277"/>
      <c r="X639" s="1277"/>
      <c r="Y639" s="1277"/>
      <c r="Z639" s="1277"/>
    </row>
    <row r="640" spans="1:26" ht="18.75" hidden="1">
      <c r="A640" s="1293"/>
      <c r="B640" s="1298"/>
      <c r="C640" s="1294"/>
      <c r="D640" s="1294"/>
      <c r="E640" s="1294" t="s">
        <v>18</v>
      </c>
      <c r="F640" s="1294"/>
      <c r="G640" s="1296"/>
      <c r="H640" s="165" t="s">
        <v>12</v>
      </c>
      <c r="I640" s="980"/>
      <c r="J640" s="980"/>
      <c r="K640" s="981"/>
      <c r="L640" s="870">
        <v>0</v>
      </c>
      <c r="M640" s="870">
        <v>0</v>
      </c>
      <c r="N640" s="870">
        <v>0</v>
      </c>
      <c r="O640" s="870">
        <f t="shared" si="269"/>
        <v>0</v>
      </c>
      <c r="P640" s="870">
        <f t="shared" si="270"/>
        <v>0</v>
      </c>
      <c r="Q640" s="1297"/>
      <c r="R640" s="1297"/>
      <c r="S640" s="1297"/>
      <c r="T640" s="1297"/>
      <c r="U640" s="1297"/>
      <c r="V640" s="1297"/>
      <c r="W640" s="1297"/>
      <c r="X640" s="1297"/>
      <c r="Y640" s="1297"/>
      <c r="Z640" s="1297"/>
    </row>
    <row r="641" spans="1:26" ht="18.75" hidden="1">
      <c r="A641" s="1293"/>
      <c r="B641" s="1298"/>
      <c r="C641" s="1294"/>
      <c r="D641" s="1294"/>
      <c r="E641" s="1294" t="s">
        <v>19</v>
      </c>
      <c r="F641" s="1294"/>
      <c r="G641" s="1296"/>
      <c r="H641" s="169" t="s">
        <v>12</v>
      </c>
      <c r="I641" s="980"/>
      <c r="J641" s="980"/>
      <c r="K641" s="981"/>
      <c r="L641" s="870">
        <f ca="1">IFERROR(__xludf.DUMMYFUNCTION("IMPORTRANGE(""https://docs.google.com/spreadsheets/d/1QqKyyYR6Q21VydFLVH3TRQUabQu_ym0Zz7PgGX0-kHA/edit?usp=sharing"",""แผน!HQ51"")"),0)</f>
        <v>0</v>
      </c>
      <c r="M641" s="870">
        <v>0</v>
      </c>
      <c r="N641" s="870">
        <v>0</v>
      </c>
      <c r="O641" s="870">
        <f t="shared" ca="1" si="269"/>
        <v>0</v>
      </c>
      <c r="P641" s="870">
        <f t="shared" si="270"/>
        <v>0</v>
      </c>
      <c r="Q641" s="1297"/>
      <c r="R641" s="1297"/>
      <c r="S641" s="1297"/>
      <c r="T641" s="1297"/>
      <c r="U641" s="1297"/>
      <c r="V641" s="1297"/>
      <c r="W641" s="1297"/>
      <c r="X641" s="1297"/>
      <c r="Y641" s="1297"/>
      <c r="Z641" s="1297"/>
    </row>
    <row r="642" spans="1:26" ht="19.5">
      <c r="A642" s="1300"/>
      <c r="B642" s="1301"/>
      <c r="C642" s="1276" t="s">
        <v>16</v>
      </c>
      <c r="D642" s="1353" t="s">
        <v>38</v>
      </c>
      <c r="E642" s="1304"/>
      <c r="F642" s="1304"/>
      <c r="G642" s="1305"/>
      <c r="H642" s="987"/>
      <c r="I642" s="977"/>
      <c r="J642" s="977"/>
      <c r="K642" s="978"/>
      <c r="L642" s="978"/>
      <c r="M642" s="978"/>
      <c r="N642" s="978"/>
      <c r="O642" s="978"/>
      <c r="P642" s="978"/>
      <c r="Q642" s="1277"/>
      <c r="R642" s="1277"/>
      <c r="S642" s="1277"/>
      <c r="T642" s="1277"/>
      <c r="U642" s="1277"/>
      <c r="V642" s="1277"/>
      <c r="W642" s="1277"/>
      <c r="X642" s="1277"/>
      <c r="Y642" s="1277"/>
      <c r="Z642" s="1277"/>
    </row>
    <row r="643" spans="1:26" ht="18.75">
      <c r="A643" s="1401"/>
      <c r="B643" s="1275"/>
      <c r="C643" s="1276"/>
      <c r="D643" s="994"/>
      <c r="E643" s="1050" t="s">
        <v>271</v>
      </c>
      <c r="F643" s="994"/>
      <c r="G643" s="987"/>
      <c r="H643" s="757" t="s">
        <v>272</v>
      </c>
      <c r="I643" s="863">
        <f ca="1">IFERROR(__xludf.DUMMYFUNCTION("IMPORTRANGE(""https://docs.google.com/spreadsheets/d/1QqKyyYR6Q21VydFLVH3TRQUabQu_ym0Zz7PgGX0-kHA/edit?usp=sharing"",""แผน!HR51"")"),0)</f>
        <v>0</v>
      </c>
      <c r="J643" s="992">
        <v>0</v>
      </c>
      <c r="K643" s="978">
        <f t="shared" ref="K643:K652" ca="1" si="271">IF(I643&gt;0,J643*100/I643,0)</f>
        <v>0</v>
      </c>
      <c r="L643" s="978"/>
      <c r="M643" s="978"/>
      <c r="N643" s="864"/>
      <c r="O643" s="978"/>
      <c r="P643" s="978"/>
      <c r="Q643" s="1277"/>
      <c r="R643" s="1277"/>
      <c r="S643" s="1277"/>
      <c r="T643" s="1277"/>
      <c r="U643" s="1277"/>
      <c r="V643" s="1277"/>
      <c r="W643" s="1277"/>
      <c r="X643" s="1277"/>
      <c r="Y643" s="1277"/>
      <c r="Z643" s="1277"/>
    </row>
    <row r="644" spans="1:26" ht="18.75">
      <c r="A644" s="1401"/>
      <c r="B644" s="1275"/>
      <c r="C644" s="1276"/>
      <c r="D644" s="994"/>
      <c r="E644" s="1050" t="s">
        <v>273</v>
      </c>
      <c r="F644" s="994"/>
      <c r="G644" s="987"/>
      <c r="H644" s="757" t="s">
        <v>274</v>
      </c>
      <c r="I644" s="863">
        <f ca="1">IFERROR(__xludf.DUMMYFUNCTION("IMPORTRANGE(""https://docs.google.com/spreadsheets/d/1QqKyyYR6Q21VydFLVH3TRQUabQu_ym0Zz7PgGX0-kHA/edit?usp=sharing"",""แผน!HR51"")"),0)</f>
        <v>0</v>
      </c>
      <c r="J644" s="992">
        <v>0</v>
      </c>
      <c r="K644" s="978">
        <f t="shared" ca="1" si="271"/>
        <v>0</v>
      </c>
      <c r="L644" s="978"/>
      <c r="M644" s="978"/>
      <c r="N644" s="864"/>
      <c r="O644" s="978"/>
      <c r="P644" s="978"/>
      <c r="Q644" s="1277"/>
      <c r="R644" s="1277"/>
      <c r="S644" s="1277"/>
      <c r="T644" s="1277"/>
      <c r="U644" s="1277"/>
      <c r="V644" s="1277"/>
      <c r="W644" s="1277"/>
      <c r="X644" s="1277"/>
      <c r="Y644" s="1277"/>
      <c r="Z644" s="1277"/>
    </row>
    <row r="645" spans="1:26" ht="18.75">
      <c r="A645" s="1401"/>
      <c r="B645" s="1275"/>
      <c r="C645" s="1276"/>
      <c r="D645" s="994"/>
      <c r="E645" s="1050" t="s">
        <v>275</v>
      </c>
      <c r="F645" s="994"/>
      <c r="G645" s="987"/>
      <c r="H645" s="757" t="s">
        <v>34</v>
      </c>
      <c r="I645" s="863">
        <v>0</v>
      </c>
      <c r="J645" s="863">
        <f ca="1">IFERROR(__xludf.DUMMYFUNCTION("IMPORTRANGE(""https://docs.google.com/spreadsheets/d/1XWAQStnk-4SwqDmLtmXYiTMKHgktTP8We1SCoS47DrQ/edit?usp=sharing"",""จัดที่ดิน!AS51"")"),199)</f>
        <v>199</v>
      </c>
      <c r="K645" s="978">
        <f t="shared" si="271"/>
        <v>0</v>
      </c>
      <c r="L645" s="978"/>
      <c r="M645" s="978"/>
      <c r="N645" s="864"/>
      <c r="O645" s="978"/>
      <c r="P645" s="978"/>
      <c r="Q645" s="1277"/>
      <c r="R645" s="1277"/>
      <c r="S645" s="1277"/>
      <c r="T645" s="1277"/>
      <c r="U645" s="1277"/>
      <c r="V645" s="1277"/>
      <c r="W645" s="1277"/>
      <c r="X645" s="1277"/>
      <c r="Y645" s="1277"/>
      <c r="Z645" s="1277"/>
    </row>
    <row r="646" spans="1:26" ht="18.75">
      <c r="A646" s="1401"/>
      <c r="B646" s="1275"/>
      <c r="C646" s="1276"/>
      <c r="D646" s="994"/>
      <c r="E646" s="994"/>
      <c r="F646" s="994"/>
      <c r="G646" s="987"/>
      <c r="H646" s="757" t="s">
        <v>46</v>
      </c>
      <c r="I646" s="863">
        <v>0</v>
      </c>
      <c r="J646" s="863">
        <f ca="1">IFERROR(__xludf.DUMMYFUNCTION("IMPORTRANGE(""https://docs.google.com/spreadsheets/d/1XWAQStnk-4SwqDmLtmXYiTMKHgktTP8We1SCoS47DrQ/edit?usp=sharing"",""จัดที่ดิน!AT51"")"),78.86)</f>
        <v>78.86</v>
      </c>
      <c r="K646" s="864">
        <f t="shared" si="271"/>
        <v>0</v>
      </c>
      <c r="L646" s="978"/>
      <c r="M646" s="978"/>
      <c r="N646" s="864"/>
      <c r="O646" s="978"/>
      <c r="P646" s="978"/>
      <c r="Q646" s="1277"/>
      <c r="R646" s="1277"/>
      <c r="S646" s="1277"/>
      <c r="T646" s="1277"/>
      <c r="U646" s="1277"/>
      <c r="V646" s="1277"/>
      <c r="W646" s="1277"/>
      <c r="X646" s="1277"/>
      <c r="Y646" s="1277"/>
      <c r="Z646" s="1277"/>
    </row>
    <row r="647" spans="1:26" ht="18.75">
      <c r="A647" s="1401"/>
      <c r="B647" s="1275"/>
      <c r="C647" s="1276"/>
      <c r="D647" s="994"/>
      <c r="E647" s="1050" t="s">
        <v>162</v>
      </c>
      <c r="F647" s="994"/>
      <c r="G647" s="987"/>
      <c r="H647" s="757" t="s">
        <v>35</v>
      </c>
      <c r="I647" s="863">
        <f ca="1">IFERROR(__xludf.DUMMYFUNCTION("IMPORTRANGE(""https://docs.google.com/spreadsheets/d/1QqKyyYR6Q21VydFLVH3TRQUabQu_ym0Zz7PgGX0-kHA/edit?usp=sharing"",""แผน!HS51"")"),250)</f>
        <v>250</v>
      </c>
      <c r="J647" s="863">
        <f ca="1">IFERROR(__xludf.DUMMYFUNCTION("IMPORTRANGE(""https://docs.google.com/spreadsheets/d/1XWAQStnk-4SwqDmLtmXYiTMKHgktTP8We1SCoS47DrQ/edit?usp=sharing"",""จัดที่ดิน!AU51"")"),98)</f>
        <v>98</v>
      </c>
      <c r="K647" s="978">
        <f t="shared" ca="1" si="271"/>
        <v>39.200000000000003</v>
      </c>
      <c r="L647" s="978"/>
      <c r="M647" s="978"/>
      <c r="N647" s="978"/>
      <c r="O647" s="978"/>
      <c r="P647" s="978"/>
      <c r="Q647" s="1277"/>
      <c r="R647" s="1277"/>
      <c r="S647" s="1277"/>
      <c r="T647" s="1277"/>
      <c r="U647" s="1277"/>
      <c r="V647" s="1277"/>
      <c r="W647" s="1277"/>
      <c r="X647" s="1277"/>
      <c r="Y647" s="1277"/>
      <c r="Z647" s="1277"/>
    </row>
    <row r="648" spans="1:26" ht="18.75">
      <c r="A648" s="1401"/>
      <c r="B648" s="1275"/>
      <c r="C648" s="1276"/>
      <c r="D648" s="994"/>
      <c r="E648" s="994"/>
      <c r="F648" s="994"/>
      <c r="G648" s="987"/>
      <c r="H648" s="757" t="s">
        <v>46</v>
      </c>
      <c r="I648" s="863">
        <v>0</v>
      </c>
      <c r="J648" s="863">
        <f ca="1">IFERROR(__xludf.DUMMYFUNCTION("IMPORTRANGE(""https://docs.google.com/spreadsheets/d/1XWAQStnk-4SwqDmLtmXYiTMKHgktTP8We1SCoS47DrQ/edit?usp=sharing"",""จัดที่ดิน!AV51"")"),44.45)</f>
        <v>44.45</v>
      </c>
      <c r="K648" s="864">
        <f t="shared" si="271"/>
        <v>0</v>
      </c>
      <c r="L648" s="978"/>
      <c r="M648" s="978"/>
      <c r="N648" s="978"/>
      <c r="O648" s="978"/>
      <c r="P648" s="978"/>
      <c r="Q648" s="1277"/>
      <c r="R648" s="1277"/>
      <c r="S648" s="1277"/>
      <c r="T648" s="1277"/>
      <c r="U648" s="1277"/>
      <c r="V648" s="1277"/>
      <c r="W648" s="1277"/>
      <c r="X648" s="1277"/>
      <c r="Y648" s="1277"/>
      <c r="Z648" s="1277"/>
    </row>
    <row r="649" spans="1:26" ht="18.75">
      <c r="A649" s="1401"/>
      <c r="B649" s="1275"/>
      <c r="C649" s="1276"/>
      <c r="D649" s="994"/>
      <c r="E649" s="1050" t="s">
        <v>276</v>
      </c>
      <c r="F649" s="994"/>
      <c r="G649" s="987"/>
      <c r="H649" s="757" t="s">
        <v>35</v>
      </c>
      <c r="I649" s="863">
        <f ca="1">IFERROR(__xludf.DUMMYFUNCTION("IMPORTRANGE(""https://docs.google.com/spreadsheets/d/1QqKyyYR6Q21VydFLVH3TRQUabQu_ym0Zz7PgGX0-kHA/edit?usp=sharing"",""แผน!HS51"")"),250)</f>
        <v>250</v>
      </c>
      <c r="J649" s="863">
        <f ca="1">IFERROR(__xludf.DUMMYFUNCTION("IMPORTRANGE(""https://docs.google.com/spreadsheets/d/1XWAQStnk-4SwqDmLtmXYiTMKHgktTP8We1SCoS47DrQ/edit?usp=sharing"",""จัดที่ดิน!AW51"")"),77)</f>
        <v>77</v>
      </c>
      <c r="K649" s="978">
        <f t="shared" ca="1" si="271"/>
        <v>30.8</v>
      </c>
      <c r="L649" s="978"/>
      <c r="M649" s="978"/>
      <c r="N649" s="978"/>
      <c r="O649" s="978"/>
      <c r="P649" s="978"/>
      <c r="Q649" s="1277"/>
      <c r="R649" s="1277"/>
      <c r="S649" s="1277"/>
      <c r="T649" s="1277"/>
      <c r="U649" s="1277"/>
      <c r="V649" s="1277"/>
      <c r="W649" s="1277"/>
      <c r="X649" s="1277"/>
      <c r="Y649" s="1277"/>
      <c r="Z649" s="1277"/>
    </row>
    <row r="650" spans="1:26" ht="18.75">
      <c r="A650" s="1401"/>
      <c r="B650" s="1275"/>
      <c r="C650" s="1276"/>
      <c r="D650" s="994"/>
      <c r="E650" s="994"/>
      <c r="F650" s="994"/>
      <c r="G650" s="987"/>
      <c r="H650" s="757" t="s">
        <v>46</v>
      </c>
      <c r="I650" s="863">
        <v>0</v>
      </c>
      <c r="J650" s="863">
        <f ca="1">IFERROR(__xludf.DUMMYFUNCTION("IMPORTRANGE(""https://docs.google.com/spreadsheets/d/1XWAQStnk-4SwqDmLtmXYiTMKHgktTP8We1SCoS47DrQ/edit?usp=sharing"",""จัดที่ดิน!AX51"")"),34.05)</f>
        <v>34.049999999999997</v>
      </c>
      <c r="K650" s="864">
        <f t="shared" si="271"/>
        <v>0</v>
      </c>
      <c r="L650" s="978"/>
      <c r="M650" s="978"/>
      <c r="N650" s="978"/>
      <c r="O650" s="978"/>
      <c r="P650" s="978"/>
      <c r="Q650" s="1277"/>
      <c r="R650" s="1277"/>
      <c r="S650" s="1277"/>
      <c r="T650" s="1277"/>
      <c r="U650" s="1277"/>
      <c r="V650" s="1277"/>
      <c r="W650" s="1277"/>
      <c r="X650" s="1277"/>
      <c r="Y650" s="1277"/>
      <c r="Z650" s="1277"/>
    </row>
    <row r="651" spans="1:26" ht="18.75">
      <c r="A651" s="1401"/>
      <c r="B651" s="1275"/>
      <c r="C651" s="1276"/>
      <c r="D651" s="994"/>
      <c r="E651" s="1050" t="s">
        <v>277</v>
      </c>
      <c r="F651" s="994"/>
      <c r="G651" s="987"/>
      <c r="H651" s="757" t="s">
        <v>35</v>
      </c>
      <c r="I651" s="863">
        <f ca="1">IFERROR(__xludf.DUMMYFUNCTION("IMPORTRANGE(""https://docs.google.com/spreadsheets/d/1QqKyyYR6Q21VydFLVH3TRQUabQu_ym0Zz7PgGX0-kHA/edit?usp=sharing"",""แผน!HS51"")"),250)</f>
        <v>250</v>
      </c>
      <c r="J651" s="863">
        <f ca="1">IFERROR(__xludf.DUMMYFUNCTION("IMPORTRANGE(""https://docs.google.com/spreadsheets/d/1XWAQStnk-4SwqDmLtmXYiTMKHgktTP8We1SCoS47DrQ/edit?usp=sharing"",""จัดที่ดิน!AY51"")"),0)</f>
        <v>0</v>
      </c>
      <c r="K651" s="978">
        <f t="shared" ca="1" si="271"/>
        <v>0</v>
      </c>
      <c r="L651" s="978"/>
      <c r="M651" s="978"/>
      <c r="N651" s="978"/>
      <c r="O651" s="978"/>
      <c r="P651" s="978"/>
      <c r="Q651" s="1277"/>
      <c r="R651" s="1277"/>
      <c r="S651" s="1277"/>
      <c r="T651" s="1277"/>
      <c r="U651" s="1277"/>
      <c r="V651" s="1277"/>
      <c r="W651" s="1277"/>
      <c r="X651" s="1277"/>
      <c r="Y651" s="1277"/>
      <c r="Z651" s="1277"/>
    </row>
    <row r="652" spans="1:26" ht="18.75">
      <c r="A652" s="1402"/>
      <c r="B652" s="1403"/>
      <c r="C652" s="1404"/>
      <c r="D652" s="1149"/>
      <c r="E652" s="1149"/>
      <c r="F652" s="1149"/>
      <c r="G652" s="1394"/>
      <c r="H652" s="499" t="s">
        <v>46</v>
      </c>
      <c r="I652" s="1117">
        <v>0</v>
      </c>
      <c r="J652" s="1117">
        <f ca="1">IFERROR(__xludf.DUMMYFUNCTION("IMPORTRANGE(""https://docs.google.com/spreadsheets/d/1XWAQStnk-4SwqDmLtmXYiTMKHgktTP8We1SCoS47DrQ/edit?usp=sharing"",""จัดที่ดิน!AZ51"")"),0)</f>
        <v>0</v>
      </c>
      <c r="K652" s="1215">
        <f t="shared" si="271"/>
        <v>0</v>
      </c>
      <c r="L652" s="1118"/>
      <c r="M652" s="1118"/>
      <c r="N652" s="1118"/>
      <c r="O652" s="1118"/>
      <c r="P652" s="1118"/>
      <c r="Q652" s="1277"/>
      <c r="R652" s="1277"/>
      <c r="S652" s="1277"/>
      <c r="T652" s="1277"/>
      <c r="U652" s="1277"/>
      <c r="V652" s="1277"/>
      <c r="W652" s="1277"/>
      <c r="X652" s="1277"/>
      <c r="Y652" s="1277"/>
      <c r="Z652" s="1277"/>
    </row>
    <row r="653" spans="1:26" ht="19.5">
      <c r="A653" s="743">
        <v>8</v>
      </c>
      <c r="B653" s="1395" t="s">
        <v>278</v>
      </c>
      <c r="C653" s="1396"/>
      <c r="D653" s="1396"/>
      <c r="E653" s="1396"/>
      <c r="F653" s="1396"/>
      <c r="G653" s="1397"/>
      <c r="H653" s="1397"/>
      <c r="I653" s="1405"/>
      <c r="J653" s="1405"/>
      <c r="K653" s="1400"/>
      <c r="L653" s="1400"/>
      <c r="M653" s="1400"/>
      <c r="N653" s="1400"/>
      <c r="O653" s="1400"/>
      <c r="P653" s="1400"/>
      <c r="Q653" s="1277"/>
      <c r="R653" s="1277"/>
      <c r="S653" s="1277"/>
      <c r="T653" s="1277"/>
      <c r="U653" s="1277"/>
      <c r="V653" s="1277"/>
      <c r="W653" s="1277"/>
      <c r="X653" s="1277"/>
      <c r="Y653" s="1277"/>
      <c r="Z653" s="1277"/>
    </row>
    <row r="654" spans="1:26" ht="19.5">
      <c r="A654" s="1348"/>
      <c r="B654" s="1347" t="s">
        <v>279</v>
      </c>
      <c r="C654" s="1348"/>
      <c r="D654" s="1348"/>
      <c r="E654" s="1348"/>
      <c r="F654" s="1348"/>
      <c r="G654" s="1349"/>
      <c r="H654" s="700" t="s">
        <v>46</v>
      </c>
      <c r="I654" s="1350">
        <f t="shared" ref="I654:J654" ca="1" si="272">I669</f>
        <v>100</v>
      </c>
      <c r="J654" s="1350">
        <f t="shared" si="272"/>
        <v>0</v>
      </c>
      <c r="K654" s="1351">
        <f ca="1">IF(I654&gt;0,J654*100/I654,0)</f>
        <v>0</v>
      </c>
      <c r="L654" s="1352"/>
      <c r="M654" s="1352"/>
      <c r="N654" s="1352"/>
      <c r="O654" s="1352"/>
      <c r="P654" s="1352"/>
      <c r="Q654" s="1277"/>
      <c r="R654" s="1277"/>
      <c r="S654" s="1277"/>
      <c r="T654" s="1277"/>
      <c r="U654" s="1277"/>
      <c r="V654" s="1277"/>
      <c r="W654" s="1277"/>
      <c r="X654" s="1277"/>
      <c r="Y654" s="1277"/>
      <c r="Z654" s="1277"/>
    </row>
    <row r="655" spans="1:26" ht="19.5">
      <c r="A655" s="1292"/>
      <c r="B655" s="1276"/>
      <c r="C655" s="1276" t="s">
        <v>16</v>
      </c>
      <c r="D655" s="1555" t="s">
        <v>17</v>
      </c>
      <c r="E655" s="1533"/>
      <c r="F655" s="1533"/>
      <c r="G655" s="996"/>
      <c r="H655" s="592" t="s">
        <v>12</v>
      </c>
      <c r="I655" s="863"/>
      <c r="J655" s="863"/>
      <c r="K655" s="864"/>
      <c r="L655" s="1000">
        <f t="shared" ref="L655:N655" ca="1" si="273">L656+L657</f>
        <v>15600</v>
      </c>
      <c r="M655" s="1000">
        <f t="shared" si="273"/>
        <v>0</v>
      </c>
      <c r="N655" s="1000">
        <f t="shared" si="273"/>
        <v>8980</v>
      </c>
      <c r="O655" s="1000">
        <f t="shared" ref="O655:O660" ca="1" si="274">IF(L655&gt;0,N655*100/L655,0)</f>
        <v>57.564102564102562</v>
      </c>
      <c r="P655" s="1000">
        <f t="shared" ref="P655:P660" si="275">IF(M655&gt;0,N655*100/M655,0)</f>
        <v>0</v>
      </c>
      <c r="Q655" s="1277"/>
      <c r="R655" s="1277"/>
      <c r="S655" s="1277"/>
      <c r="T655" s="1277"/>
      <c r="U655" s="1277"/>
      <c r="V655" s="1277"/>
      <c r="W655" s="1277"/>
      <c r="X655" s="1277"/>
      <c r="Y655" s="1277"/>
      <c r="Z655" s="1277"/>
    </row>
    <row r="656" spans="1:26" ht="18.75" hidden="1">
      <c r="A656" s="1293"/>
      <c r="B656" s="1294"/>
      <c r="C656" s="1294"/>
      <c r="D656" s="1295"/>
      <c r="E656" s="1294" t="s">
        <v>184</v>
      </c>
      <c r="F656" s="1294"/>
      <c r="G656" s="1296"/>
      <c r="H656" s="165" t="s">
        <v>12</v>
      </c>
      <c r="I656" s="869"/>
      <c r="J656" s="869"/>
      <c r="K656" s="870"/>
      <c r="L656" s="870">
        <f t="shared" ref="L656:N657" si="276">L659+L666</f>
        <v>0</v>
      </c>
      <c r="M656" s="870">
        <f t="shared" si="276"/>
        <v>0</v>
      </c>
      <c r="N656" s="870">
        <f t="shared" si="276"/>
        <v>0</v>
      </c>
      <c r="O656" s="870">
        <f t="shared" si="274"/>
        <v>0</v>
      </c>
      <c r="P656" s="870">
        <f t="shared" si="275"/>
        <v>0</v>
      </c>
      <c r="Q656" s="1297"/>
      <c r="R656" s="1297"/>
      <c r="S656" s="1297"/>
      <c r="T656" s="1297"/>
      <c r="U656" s="1297"/>
      <c r="V656" s="1297"/>
      <c r="W656" s="1297"/>
      <c r="X656" s="1297"/>
      <c r="Y656" s="1297"/>
      <c r="Z656" s="1297"/>
    </row>
    <row r="657" spans="1:26" ht="18.75" hidden="1">
      <c r="A657" s="1293"/>
      <c r="B657" s="1298"/>
      <c r="C657" s="1294"/>
      <c r="D657" s="1295"/>
      <c r="E657" s="1294" t="s">
        <v>185</v>
      </c>
      <c r="F657" s="1294"/>
      <c r="G657" s="1296"/>
      <c r="H657" s="165" t="s">
        <v>12</v>
      </c>
      <c r="I657" s="869"/>
      <c r="J657" s="869"/>
      <c r="K657" s="870"/>
      <c r="L657" s="870">
        <f t="shared" ca="1" si="276"/>
        <v>15600</v>
      </c>
      <c r="M657" s="870">
        <f t="shared" si="276"/>
        <v>0</v>
      </c>
      <c r="N657" s="870">
        <f t="shared" si="276"/>
        <v>8980</v>
      </c>
      <c r="O657" s="870">
        <f t="shared" ca="1" si="274"/>
        <v>57.564102564102562</v>
      </c>
      <c r="P657" s="870">
        <f t="shared" si="275"/>
        <v>0</v>
      </c>
      <c r="Q657" s="1297"/>
      <c r="R657" s="1297"/>
      <c r="S657" s="1297"/>
      <c r="T657" s="1297"/>
      <c r="U657" s="1297"/>
      <c r="V657" s="1297"/>
      <c r="W657" s="1297"/>
      <c r="X657" s="1297"/>
      <c r="Y657" s="1297"/>
      <c r="Z657" s="1297"/>
    </row>
    <row r="658" spans="1:26" ht="18.75">
      <c r="A658" s="1292"/>
      <c r="B658" s="1275"/>
      <c r="C658" s="1276"/>
      <c r="D658" s="1299" t="s">
        <v>20</v>
      </c>
      <c r="E658" s="1276"/>
      <c r="F658" s="1276"/>
      <c r="G658" s="996"/>
      <c r="H658" s="161" t="s">
        <v>12</v>
      </c>
      <c r="I658" s="977"/>
      <c r="J658" s="977"/>
      <c r="K658" s="978"/>
      <c r="L658" s="864">
        <f t="shared" ref="L658:N658" ca="1" si="277">L659+L660</f>
        <v>15600</v>
      </c>
      <c r="M658" s="864">
        <f t="shared" si="277"/>
        <v>0</v>
      </c>
      <c r="N658" s="864">
        <f t="shared" si="277"/>
        <v>8980</v>
      </c>
      <c r="O658" s="864">
        <f t="shared" ca="1" si="274"/>
        <v>57.564102564102562</v>
      </c>
      <c r="P658" s="864">
        <f t="shared" si="275"/>
        <v>0</v>
      </c>
      <c r="Q658" s="1277"/>
      <c r="R658" s="1277"/>
      <c r="S658" s="1277"/>
      <c r="T658" s="1277"/>
      <c r="U658" s="1277"/>
      <c r="V658" s="1277"/>
      <c r="W658" s="1277"/>
      <c r="X658" s="1277"/>
      <c r="Y658" s="1277"/>
      <c r="Z658" s="1277"/>
    </row>
    <row r="659" spans="1:26" ht="18.75" hidden="1">
      <c r="A659" s="1293"/>
      <c r="B659" s="1298"/>
      <c r="C659" s="1294"/>
      <c r="D659" s="1295"/>
      <c r="E659" s="1294" t="s">
        <v>184</v>
      </c>
      <c r="F659" s="1294"/>
      <c r="G659" s="1296"/>
      <c r="H659" s="165" t="s">
        <v>12</v>
      </c>
      <c r="I659" s="869"/>
      <c r="J659" s="869"/>
      <c r="K659" s="870"/>
      <c r="L659" s="870">
        <v>0</v>
      </c>
      <c r="M659" s="870">
        <v>0</v>
      </c>
      <c r="N659" s="870">
        <v>0</v>
      </c>
      <c r="O659" s="870">
        <f t="shared" si="274"/>
        <v>0</v>
      </c>
      <c r="P659" s="870">
        <f t="shared" si="275"/>
        <v>0</v>
      </c>
      <c r="Q659" s="1297"/>
      <c r="R659" s="1297"/>
      <c r="S659" s="1297"/>
      <c r="T659" s="1297"/>
      <c r="U659" s="1297"/>
      <c r="V659" s="1297"/>
      <c r="W659" s="1297"/>
      <c r="X659" s="1297"/>
      <c r="Y659" s="1297"/>
      <c r="Z659" s="1297"/>
    </row>
    <row r="660" spans="1:26" ht="18.75" hidden="1">
      <c r="A660" s="1293"/>
      <c r="B660" s="1298"/>
      <c r="C660" s="1294"/>
      <c r="D660" s="1295"/>
      <c r="E660" s="1294" t="s">
        <v>185</v>
      </c>
      <c r="F660" s="1294"/>
      <c r="G660" s="1296"/>
      <c r="H660" s="165" t="s">
        <v>12</v>
      </c>
      <c r="I660" s="869"/>
      <c r="J660" s="869"/>
      <c r="K660" s="870"/>
      <c r="L660" s="870">
        <f ca="1">IFERROR(__xludf.DUMMYFUNCTION("IMPORTRANGE(""https://docs.google.com/spreadsheets/d/1QqKyyYR6Q21VydFLVH3TRQUabQu_ym0Zz7PgGX0-kHA/edit?usp=sharing"",""แผน!HV51"")"),15600)</f>
        <v>15600</v>
      </c>
      <c r="M660" s="870">
        <v>0</v>
      </c>
      <c r="N660" s="870">
        <f>N661+N662+N663+N664</f>
        <v>8980</v>
      </c>
      <c r="O660" s="870">
        <f t="shared" ca="1" si="274"/>
        <v>57.564102564102562</v>
      </c>
      <c r="P660" s="870">
        <f t="shared" si="275"/>
        <v>0</v>
      </c>
      <c r="Q660" s="1297"/>
      <c r="R660" s="1297"/>
      <c r="S660" s="1297"/>
      <c r="T660" s="1297"/>
      <c r="U660" s="1297"/>
      <c r="V660" s="1297"/>
      <c r="W660" s="1297"/>
      <c r="X660" s="1297"/>
      <c r="Y660" s="1297"/>
      <c r="Z660" s="1297"/>
    </row>
    <row r="661" spans="1:26" ht="18.75">
      <c r="A661" s="1274"/>
      <c r="B661" s="1275"/>
      <c r="C661" s="1276"/>
      <c r="D661" s="1276"/>
      <c r="E661" s="1276"/>
      <c r="F661" s="1276" t="s">
        <v>186</v>
      </c>
      <c r="G661" s="996"/>
      <c r="H661" s="161" t="s">
        <v>12</v>
      </c>
      <c r="I661" s="863"/>
      <c r="J661" s="863"/>
      <c r="K661" s="864"/>
      <c r="L661" s="864"/>
      <c r="M661" s="864"/>
      <c r="N661" s="1064">
        <v>0</v>
      </c>
      <c r="O661" s="864"/>
      <c r="P661" s="864"/>
      <c r="Q661" s="1277"/>
      <c r="R661" s="1277"/>
      <c r="S661" s="1277"/>
      <c r="T661" s="1277"/>
      <c r="U661" s="1277"/>
      <c r="V661" s="1277"/>
      <c r="W661" s="1277"/>
      <c r="X661" s="1277"/>
      <c r="Y661" s="1277"/>
      <c r="Z661" s="1277"/>
    </row>
    <row r="662" spans="1:26" ht="18.75">
      <c r="A662" s="1274"/>
      <c r="B662" s="1275"/>
      <c r="C662" s="1276"/>
      <c r="D662" s="1276"/>
      <c r="E662" s="1276"/>
      <c r="F662" s="1276" t="s">
        <v>187</v>
      </c>
      <c r="G662" s="996"/>
      <c r="H662" s="161" t="s">
        <v>12</v>
      </c>
      <c r="I662" s="863"/>
      <c r="J662" s="863"/>
      <c r="K662" s="864"/>
      <c r="L662" s="864"/>
      <c r="M662" s="864"/>
      <c r="N662" s="1064">
        <v>0</v>
      </c>
      <c r="O662" s="864"/>
      <c r="P662" s="864"/>
      <c r="Q662" s="1277"/>
      <c r="R662" s="1277"/>
      <c r="S662" s="1277"/>
      <c r="T662" s="1277"/>
      <c r="U662" s="1277"/>
      <c r="V662" s="1277"/>
      <c r="W662" s="1277"/>
      <c r="X662" s="1277"/>
      <c r="Y662" s="1277"/>
      <c r="Z662" s="1277"/>
    </row>
    <row r="663" spans="1:26" ht="18.75">
      <c r="A663" s="1274"/>
      <c r="B663" s="1275"/>
      <c r="C663" s="1275"/>
      <c r="D663" s="1276"/>
      <c r="E663" s="1276"/>
      <c r="F663" s="1276" t="s">
        <v>188</v>
      </c>
      <c r="G663" s="996"/>
      <c r="H663" s="161" t="s">
        <v>12</v>
      </c>
      <c r="I663" s="863"/>
      <c r="J663" s="863"/>
      <c r="K663" s="864"/>
      <c r="L663" s="864"/>
      <c r="M663" s="864"/>
      <c r="N663" s="1064">
        <v>0</v>
      </c>
      <c r="O663" s="864"/>
      <c r="P663" s="864"/>
      <c r="Q663" s="1277"/>
      <c r="R663" s="1277"/>
      <c r="S663" s="1277"/>
      <c r="T663" s="1277"/>
      <c r="U663" s="1277"/>
      <c r="V663" s="1277"/>
      <c r="W663" s="1277"/>
      <c r="X663" s="1277"/>
      <c r="Y663" s="1277"/>
      <c r="Z663" s="1277"/>
    </row>
    <row r="664" spans="1:26" ht="18.75">
      <c r="A664" s="1274"/>
      <c r="B664" s="1275"/>
      <c r="C664" s="1275"/>
      <c r="D664" s="1275"/>
      <c r="E664" s="1276"/>
      <c r="F664" s="1276" t="s">
        <v>189</v>
      </c>
      <c r="G664" s="996"/>
      <c r="H664" s="161" t="s">
        <v>12</v>
      </c>
      <c r="I664" s="863"/>
      <c r="J664" s="863"/>
      <c r="K664" s="864"/>
      <c r="L664" s="864"/>
      <c r="M664" s="864"/>
      <c r="N664" s="1064">
        <f>2100+5440+1440</f>
        <v>8980</v>
      </c>
      <c r="O664" s="864"/>
      <c r="P664" s="864"/>
      <c r="Q664" s="1277"/>
      <c r="R664" s="1277"/>
      <c r="S664" s="1277"/>
      <c r="T664" s="1277"/>
      <c r="U664" s="1277"/>
      <c r="V664" s="1277"/>
      <c r="W664" s="1277"/>
      <c r="X664" s="1277"/>
      <c r="Y664" s="1277"/>
      <c r="Z664" s="1277"/>
    </row>
    <row r="665" spans="1:26" ht="18.75">
      <c r="A665" s="1292"/>
      <c r="B665" s="1275"/>
      <c r="C665" s="1275"/>
      <c r="D665" s="1299" t="s">
        <v>21</v>
      </c>
      <c r="E665" s="1276"/>
      <c r="F665" s="1276"/>
      <c r="G665" s="996"/>
      <c r="H665" s="168" t="s">
        <v>12</v>
      </c>
      <c r="I665" s="977"/>
      <c r="J665" s="977"/>
      <c r="K665" s="978"/>
      <c r="L665" s="864">
        <f t="shared" ref="L665:N665" si="278">L666+L667</f>
        <v>0</v>
      </c>
      <c r="M665" s="864">
        <f t="shared" si="278"/>
        <v>0</v>
      </c>
      <c r="N665" s="864">
        <f t="shared" si="278"/>
        <v>0</v>
      </c>
      <c r="O665" s="864">
        <f t="shared" ref="O665:O667" si="279">IF(L665&gt;0,N665*100/L665,0)</f>
        <v>0</v>
      </c>
      <c r="P665" s="864">
        <f t="shared" ref="P665:P667" si="280">IF(M665&gt;0,N665*100/M665,0)</f>
        <v>0</v>
      </c>
      <c r="Q665" s="1277"/>
      <c r="R665" s="1277"/>
      <c r="S665" s="1277"/>
      <c r="T665" s="1277"/>
      <c r="U665" s="1277"/>
      <c r="V665" s="1277"/>
      <c r="W665" s="1277"/>
      <c r="X665" s="1277"/>
      <c r="Y665" s="1277"/>
      <c r="Z665" s="1277"/>
    </row>
    <row r="666" spans="1:26" ht="18.75" hidden="1">
      <c r="A666" s="1293"/>
      <c r="B666" s="1298"/>
      <c r="C666" s="1298"/>
      <c r="D666" s="1298"/>
      <c r="E666" s="1294" t="s">
        <v>18</v>
      </c>
      <c r="F666" s="1294"/>
      <c r="G666" s="1296"/>
      <c r="H666" s="165" t="s">
        <v>12</v>
      </c>
      <c r="I666" s="980"/>
      <c r="J666" s="980"/>
      <c r="K666" s="981"/>
      <c r="L666" s="870">
        <v>0</v>
      </c>
      <c r="M666" s="870">
        <v>0</v>
      </c>
      <c r="N666" s="870">
        <v>0</v>
      </c>
      <c r="O666" s="870">
        <f t="shared" si="279"/>
        <v>0</v>
      </c>
      <c r="P666" s="870">
        <f t="shared" si="280"/>
        <v>0</v>
      </c>
      <c r="Q666" s="1297"/>
      <c r="R666" s="1297"/>
      <c r="S666" s="1297"/>
      <c r="T666" s="1297"/>
      <c r="U666" s="1297"/>
      <c r="V666" s="1297"/>
      <c r="W666" s="1297"/>
      <c r="X666" s="1297"/>
      <c r="Y666" s="1297"/>
      <c r="Z666" s="1297"/>
    </row>
    <row r="667" spans="1:26" ht="18.75" hidden="1">
      <c r="A667" s="1293"/>
      <c r="B667" s="1298"/>
      <c r="C667" s="1298"/>
      <c r="D667" s="1298"/>
      <c r="E667" s="1294" t="s">
        <v>19</v>
      </c>
      <c r="F667" s="1294"/>
      <c r="G667" s="1296"/>
      <c r="H667" s="169" t="s">
        <v>12</v>
      </c>
      <c r="I667" s="980"/>
      <c r="J667" s="980"/>
      <c r="K667" s="981"/>
      <c r="L667" s="870">
        <v>0</v>
      </c>
      <c r="M667" s="870">
        <v>0</v>
      </c>
      <c r="N667" s="870">
        <v>0</v>
      </c>
      <c r="O667" s="870">
        <f t="shared" si="279"/>
        <v>0</v>
      </c>
      <c r="P667" s="870">
        <f t="shared" si="280"/>
        <v>0</v>
      </c>
      <c r="Q667" s="1297"/>
      <c r="R667" s="1297"/>
      <c r="S667" s="1297"/>
      <c r="T667" s="1297"/>
      <c r="U667" s="1297"/>
      <c r="V667" s="1297"/>
      <c r="W667" s="1297"/>
      <c r="X667" s="1297"/>
      <c r="Y667" s="1297"/>
      <c r="Z667" s="1297"/>
    </row>
    <row r="668" spans="1:26" ht="19.5">
      <c r="A668" s="1300"/>
      <c r="B668" s="1301"/>
      <c r="C668" s="1275" t="s">
        <v>16</v>
      </c>
      <c r="D668" s="1302" t="s">
        <v>38</v>
      </c>
      <c r="E668" s="1304"/>
      <c r="F668" s="1304"/>
      <c r="G668" s="1305"/>
      <c r="H668" s="987"/>
      <c r="I668" s="977"/>
      <c r="J668" s="977"/>
      <c r="K668" s="978"/>
      <c r="L668" s="978"/>
      <c r="M668" s="978"/>
      <c r="N668" s="978"/>
      <c r="O668" s="978"/>
      <c r="P668" s="978"/>
      <c r="Q668" s="1277"/>
      <c r="R668" s="1277"/>
      <c r="S668" s="1277"/>
      <c r="T668" s="1277"/>
      <c r="U668" s="1277"/>
      <c r="V668" s="1277"/>
      <c r="W668" s="1277"/>
      <c r="X668" s="1277"/>
      <c r="Y668" s="1277"/>
      <c r="Z668" s="1277"/>
    </row>
    <row r="669" spans="1:26" ht="19.5">
      <c r="A669" s="1300"/>
      <c r="B669" s="1301"/>
      <c r="C669" s="1301"/>
      <c r="D669" s="1301" t="s">
        <v>280</v>
      </c>
      <c r="E669" s="994"/>
      <c r="F669" s="994"/>
      <c r="G669" s="987"/>
      <c r="H669" s="760" t="s">
        <v>46</v>
      </c>
      <c r="I669" s="999">
        <f ca="1">IFERROR(__xludf.DUMMYFUNCTION("IMPORTRANGE(""https://docs.google.com/spreadsheets/d/1QqKyyYR6Q21VydFLVH3TRQUabQu_ym0Zz7PgGX0-kHA/edit?usp=sharing"",""แผน!IA51"")"),100)</f>
        <v>100</v>
      </c>
      <c r="J669" s="999">
        <f>J675</f>
        <v>0</v>
      </c>
      <c r="K669" s="1000">
        <f ca="1">IF(I669&gt;0,J669*100/I669,0)</f>
        <v>0</v>
      </c>
      <c r="L669" s="978"/>
      <c r="M669" s="978"/>
      <c r="N669" s="978"/>
      <c r="O669" s="978"/>
      <c r="P669" s="978"/>
      <c r="Q669" s="1277"/>
      <c r="R669" s="1277"/>
      <c r="S669" s="1277"/>
      <c r="T669" s="1277"/>
      <c r="U669" s="1277"/>
      <c r="V669" s="1277"/>
      <c r="W669" s="1277"/>
      <c r="X669" s="1277"/>
      <c r="Y669" s="1277"/>
      <c r="Z669" s="1277"/>
    </row>
    <row r="670" spans="1:26" ht="18.75">
      <c r="A670" s="1300"/>
      <c r="B670" s="1301"/>
      <c r="C670" s="1301"/>
      <c r="D670" s="1301"/>
      <c r="E670" s="994" t="s">
        <v>281</v>
      </c>
      <c r="F670" s="994"/>
      <c r="G670" s="987"/>
      <c r="H670" s="757" t="s">
        <v>66</v>
      </c>
      <c r="I670" s="863">
        <f ca="1">IFERROR(__xludf.DUMMYFUNCTION("IMPORTRANGE(""https://docs.google.com/spreadsheets/d/1QqKyyYR6Q21VydFLVH3TRQUabQu_ym0Zz7PgGX0-kHA/edit?usp=sharing"",""แผน!HZ51"")"),6)</f>
        <v>6</v>
      </c>
      <c r="J670" s="992">
        <v>6</v>
      </c>
      <c r="K670" s="864">
        <f ca="1">IF(I670&gt;0,(J670*100)/I670,0)</f>
        <v>100</v>
      </c>
      <c r="L670" s="978"/>
      <c r="M670" s="978"/>
      <c r="N670" s="978"/>
      <c r="O670" s="978"/>
      <c r="P670" s="978"/>
      <c r="Q670" s="1277"/>
      <c r="R670" s="1277"/>
      <c r="S670" s="1277"/>
      <c r="T670" s="1277"/>
      <c r="U670" s="1277"/>
      <c r="V670" s="1277"/>
      <c r="W670" s="1277"/>
      <c r="X670" s="1277"/>
      <c r="Y670" s="1277"/>
      <c r="Z670" s="1277"/>
    </row>
    <row r="671" spans="1:26" ht="18.75">
      <c r="A671" s="1300"/>
      <c r="B671" s="1301"/>
      <c r="C671" s="1301"/>
      <c r="D671" s="1301"/>
      <c r="E671" s="994" t="s">
        <v>282</v>
      </c>
      <c r="F671" s="994"/>
      <c r="G671" s="987"/>
      <c r="H671" s="757" t="s">
        <v>66</v>
      </c>
      <c r="I671" s="863">
        <f ca="1">IFERROR(__xludf.DUMMYFUNCTION("IMPORTRANGE(""https://docs.google.com/spreadsheets/d/1QqKyyYR6Q21VydFLVH3TRQUabQu_ym0Zz7PgGX0-kHA/edit?usp=sharing"",""แผน!HZ51"")"),6)</f>
        <v>6</v>
      </c>
      <c r="J671" s="992">
        <v>6</v>
      </c>
      <c r="K671" s="864">
        <f ca="1">IF(I$671&gt;0,J671*100/I$671,0)</f>
        <v>100</v>
      </c>
      <c r="L671" s="978"/>
      <c r="M671" s="978"/>
      <c r="N671" s="978"/>
      <c r="O671" s="978"/>
      <c r="P671" s="978"/>
      <c r="Q671" s="1277"/>
      <c r="R671" s="1277"/>
      <c r="S671" s="1277"/>
      <c r="T671" s="1277"/>
      <c r="U671" s="1277"/>
      <c r="V671" s="1277"/>
      <c r="W671" s="1277"/>
      <c r="X671" s="1277"/>
      <c r="Y671" s="1277"/>
      <c r="Z671" s="1277"/>
    </row>
    <row r="672" spans="1:26" ht="18.75">
      <c r="A672" s="1300"/>
      <c r="B672" s="1301"/>
      <c r="C672" s="1301"/>
      <c r="D672" s="1301"/>
      <c r="E672" s="994" t="s">
        <v>283</v>
      </c>
      <c r="F672" s="994"/>
      <c r="G672" s="987"/>
      <c r="H672" s="757" t="s">
        <v>46</v>
      </c>
      <c r="I672" s="863"/>
      <c r="J672" s="992">
        <v>711</v>
      </c>
      <c r="K672" s="864">
        <f t="shared" ref="K672:K675" ca="1" si="281">IF(I$669&gt;0,J672*100/I$669,0)</f>
        <v>711</v>
      </c>
      <c r="L672" s="978"/>
      <c r="M672" s="978"/>
      <c r="N672" s="978"/>
      <c r="O672" s="978"/>
      <c r="P672" s="978"/>
      <c r="Q672" s="1277"/>
      <c r="R672" s="1277"/>
      <c r="S672" s="1277"/>
      <c r="T672" s="1277"/>
      <c r="U672" s="1277"/>
      <c r="V672" s="1277"/>
      <c r="W672" s="1277"/>
      <c r="X672" s="1277"/>
      <c r="Y672" s="1277"/>
      <c r="Z672" s="1277"/>
    </row>
    <row r="673" spans="1:26" ht="18.75">
      <c r="A673" s="1300"/>
      <c r="B673" s="1301"/>
      <c r="C673" s="1301"/>
      <c r="D673" s="1301"/>
      <c r="E673" s="994" t="s">
        <v>284</v>
      </c>
      <c r="F673" s="994"/>
      <c r="G673" s="987"/>
      <c r="H673" s="757" t="s">
        <v>46</v>
      </c>
      <c r="I673" s="863"/>
      <c r="J673" s="992">
        <v>711</v>
      </c>
      <c r="K673" s="864">
        <f t="shared" ca="1" si="281"/>
        <v>711</v>
      </c>
      <c r="L673" s="978"/>
      <c r="M673" s="978"/>
      <c r="N673" s="978"/>
      <c r="O673" s="978"/>
      <c r="P673" s="978"/>
      <c r="Q673" s="1277"/>
      <c r="R673" s="1277"/>
      <c r="S673" s="1277"/>
      <c r="T673" s="1277"/>
      <c r="U673" s="1277"/>
      <c r="V673" s="1277"/>
      <c r="W673" s="1277"/>
      <c r="X673" s="1277"/>
      <c r="Y673" s="1277"/>
      <c r="Z673" s="1277"/>
    </row>
    <row r="674" spans="1:26" ht="18.75">
      <c r="A674" s="1300"/>
      <c r="B674" s="1301"/>
      <c r="C674" s="1301"/>
      <c r="D674" s="1301"/>
      <c r="E674" s="994" t="s">
        <v>285</v>
      </c>
      <c r="F674" s="994"/>
      <c r="G674" s="987"/>
      <c r="H674" s="757" t="s">
        <v>46</v>
      </c>
      <c r="I674" s="863"/>
      <c r="J674" s="992">
        <v>0</v>
      </c>
      <c r="K674" s="864">
        <f t="shared" ca="1" si="281"/>
        <v>0</v>
      </c>
      <c r="L674" s="978"/>
      <c r="M674" s="978"/>
      <c r="N674" s="978"/>
      <c r="O674" s="978"/>
      <c r="P674" s="978"/>
      <c r="Q674" s="1277"/>
      <c r="R674" s="1277"/>
      <c r="S674" s="1277"/>
      <c r="T674" s="1277"/>
      <c r="U674" s="1277"/>
      <c r="V674" s="1277"/>
      <c r="W674" s="1277"/>
      <c r="X674" s="1277"/>
      <c r="Y674" s="1277"/>
      <c r="Z674" s="1277"/>
    </row>
    <row r="675" spans="1:26" ht="19.5">
      <c r="A675" s="1300"/>
      <c r="B675" s="1301"/>
      <c r="C675" s="1301"/>
      <c r="D675" s="1301"/>
      <c r="E675" s="994" t="s">
        <v>286</v>
      </c>
      <c r="F675" s="994"/>
      <c r="G675" s="987"/>
      <c r="H675" s="757" t="s">
        <v>46</v>
      </c>
      <c r="I675" s="863"/>
      <c r="J675" s="999">
        <f>J676+J677</f>
        <v>0</v>
      </c>
      <c r="K675" s="1000">
        <f t="shared" ca="1" si="281"/>
        <v>0</v>
      </c>
      <c r="L675" s="978"/>
      <c r="M675" s="978"/>
      <c r="N675" s="978"/>
      <c r="O675" s="978"/>
      <c r="P675" s="978"/>
      <c r="Q675" s="1277"/>
      <c r="R675" s="1277"/>
      <c r="S675" s="1277"/>
      <c r="T675" s="1277"/>
      <c r="U675" s="1277"/>
      <c r="V675" s="1277"/>
      <c r="W675" s="1277"/>
      <c r="X675" s="1277"/>
      <c r="Y675" s="1277"/>
      <c r="Z675" s="1277"/>
    </row>
    <row r="676" spans="1:26" ht="18.75">
      <c r="A676" s="1300"/>
      <c r="B676" s="1301"/>
      <c r="C676" s="1301"/>
      <c r="D676" s="1301"/>
      <c r="E676" s="994"/>
      <c r="F676" s="994" t="s">
        <v>287</v>
      </c>
      <c r="G676" s="987"/>
      <c r="H676" s="757" t="s">
        <v>46</v>
      </c>
      <c r="I676" s="863"/>
      <c r="J676" s="992">
        <v>0</v>
      </c>
      <c r="K676" s="864"/>
      <c r="L676" s="978"/>
      <c r="M676" s="978"/>
      <c r="N676" s="978"/>
      <c r="O676" s="978"/>
      <c r="P676" s="978"/>
      <c r="Q676" s="1277"/>
      <c r="R676" s="1277"/>
      <c r="S676" s="1277"/>
      <c r="T676" s="1277"/>
      <c r="U676" s="1277"/>
      <c r="V676" s="1277"/>
      <c r="W676" s="1277"/>
      <c r="X676" s="1277"/>
      <c r="Y676" s="1277"/>
      <c r="Z676" s="1277"/>
    </row>
    <row r="677" spans="1:26" ht="18.75">
      <c r="A677" s="1300"/>
      <c r="B677" s="1301"/>
      <c r="C677" s="1301"/>
      <c r="D677" s="1301"/>
      <c r="E677" s="994"/>
      <c r="F677" s="994" t="s">
        <v>288</v>
      </c>
      <c r="G677" s="987"/>
      <c r="H677" s="757" t="s">
        <v>46</v>
      </c>
      <c r="I677" s="863"/>
      <c r="J677" s="992">
        <v>0</v>
      </c>
      <c r="K677" s="864"/>
      <c r="L677" s="978"/>
      <c r="M677" s="978"/>
      <c r="N677" s="978"/>
      <c r="O677" s="978"/>
      <c r="P677" s="978"/>
      <c r="Q677" s="1277"/>
      <c r="R677" s="1277"/>
      <c r="S677" s="1277"/>
      <c r="T677" s="1277"/>
      <c r="U677" s="1277"/>
      <c r="V677" s="1277"/>
      <c r="W677" s="1277"/>
      <c r="X677" s="1277"/>
      <c r="Y677" s="1277"/>
      <c r="Z677" s="1277"/>
    </row>
    <row r="678" spans="1:26" ht="19.5">
      <c r="A678" s="1300"/>
      <c r="B678" s="1301"/>
      <c r="C678" s="1301"/>
      <c r="D678" s="1301" t="s">
        <v>289</v>
      </c>
      <c r="E678" s="994"/>
      <c r="F678" s="994"/>
      <c r="G678" s="987"/>
      <c r="H678" s="757" t="s">
        <v>46</v>
      </c>
      <c r="I678" s="999">
        <f ca="1">IFERROR(__xludf.DUMMYFUNCTION("IMPORTRANGE(""https://docs.google.com/spreadsheets/d/1QqKyyYR6Q21VydFLVH3TRQUabQu_ym0Zz7PgGX0-kHA/edit?usp=sharing"",""แผน!IB51"")"),0)</f>
        <v>0</v>
      </c>
      <c r="J678" s="999">
        <f>J679</f>
        <v>0</v>
      </c>
      <c r="K678" s="1000">
        <f ca="1">IF(I678&gt;0,J678*100/I678,0)</f>
        <v>0</v>
      </c>
      <c r="L678" s="978"/>
      <c r="M678" s="978"/>
      <c r="N678" s="978"/>
      <c r="O678" s="978"/>
      <c r="P678" s="978"/>
      <c r="Q678" s="1277"/>
      <c r="R678" s="1277"/>
      <c r="S678" s="1277"/>
      <c r="T678" s="1277"/>
      <c r="U678" s="1277"/>
      <c r="V678" s="1277"/>
      <c r="W678" s="1277"/>
      <c r="X678" s="1277"/>
      <c r="Y678" s="1277"/>
      <c r="Z678" s="1277"/>
    </row>
    <row r="679" spans="1:26" ht="18.75">
      <c r="A679" s="1300"/>
      <c r="B679" s="1301"/>
      <c r="C679" s="1301"/>
      <c r="D679" s="1301"/>
      <c r="E679" s="994" t="s">
        <v>290</v>
      </c>
      <c r="F679" s="994"/>
      <c r="G679" s="987"/>
      <c r="H679" s="757" t="s">
        <v>46</v>
      </c>
      <c r="I679" s="863"/>
      <c r="J679" s="863">
        <f>J680+J681</f>
        <v>0</v>
      </c>
      <c r="K679" s="864"/>
      <c r="L679" s="978"/>
      <c r="M679" s="978"/>
      <c r="N679" s="978"/>
      <c r="O679" s="978"/>
      <c r="P679" s="978"/>
      <c r="Q679" s="1277"/>
      <c r="R679" s="1277"/>
      <c r="S679" s="1277"/>
      <c r="T679" s="1277"/>
      <c r="U679" s="1277"/>
      <c r="V679" s="1277"/>
      <c r="W679" s="1277"/>
      <c r="X679" s="1277"/>
      <c r="Y679" s="1277"/>
      <c r="Z679" s="1277"/>
    </row>
    <row r="680" spans="1:26" ht="18.75">
      <c r="A680" s="1300"/>
      <c r="B680" s="1301"/>
      <c r="C680" s="1301"/>
      <c r="D680" s="1301"/>
      <c r="E680" s="994"/>
      <c r="F680" s="994" t="s">
        <v>287</v>
      </c>
      <c r="G680" s="987"/>
      <c r="H680" s="757" t="s">
        <v>46</v>
      </c>
      <c r="I680" s="863"/>
      <c r="J680" s="992">
        <v>0</v>
      </c>
      <c r="K680" s="864"/>
      <c r="L680" s="978"/>
      <c r="M680" s="978"/>
      <c r="N680" s="978"/>
      <c r="O680" s="978"/>
      <c r="P680" s="978"/>
      <c r="Q680" s="1277"/>
      <c r="R680" s="1277"/>
      <c r="S680" s="1277"/>
      <c r="T680" s="1277"/>
      <c r="U680" s="1277"/>
      <c r="V680" s="1277"/>
      <c r="W680" s="1277"/>
      <c r="X680" s="1277"/>
      <c r="Y680" s="1277"/>
      <c r="Z680" s="1277"/>
    </row>
    <row r="681" spans="1:26" ht="18.75">
      <c r="A681" s="1300"/>
      <c r="B681" s="1301"/>
      <c r="C681" s="1301"/>
      <c r="D681" s="1301"/>
      <c r="E681" s="994"/>
      <c r="F681" s="994" t="s">
        <v>288</v>
      </c>
      <c r="G681" s="987"/>
      <c r="H681" s="757" t="s">
        <v>46</v>
      </c>
      <c r="I681" s="863"/>
      <c r="J681" s="992">
        <v>0</v>
      </c>
      <c r="K681" s="864"/>
      <c r="L681" s="978"/>
      <c r="M681" s="978"/>
      <c r="N681" s="978"/>
      <c r="O681" s="978"/>
      <c r="P681" s="978"/>
      <c r="Q681" s="1277"/>
      <c r="R681" s="1277"/>
      <c r="S681" s="1277"/>
      <c r="T681" s="1277"/>
      <c r="U681" s="1277"/>
      <c r="V681" s="1277"/>
      <c r="W681" s="1277"/>
      <c r="X681" s="1277"/>
      <c r="Y681" s="1277"/>
      <c r="Z681" s="1277"/>
    </row>
    <row r="682" spans="1:26" ht="18.75">
      <c r="A682" s="1300"/>
      <c r="B682" s="1301"/>
      <c r="C682" s="1301"/>
      <c r="D682" s="1301"/>
      <c r="E682" s="994" t="s">
        <v>291</v>
      </c>
      <c r="F682" s="994"/>
      <c r="G682" s="987"/>
      <c r="H682" s="757" t="s">
        <v>46</v>
      </c>
      <c r="I682" s="863"/>
      <c r="J682" s="992">
        <v>0</v>
      </c>
      <c r="K682" s="864"/>
      <c r="L682" s="978"/>
      <c r="M682" s="978"/>
      <c r="N682" s="978"/>
      <c r="O682" s="978"/>
      <c r="P682" s="978"/>
      <c r="Q682" s="1277"/>
      <c r="R682" s="1277"/>
      <c r="S682" s="1277"/>
      <c r="T682" s="1277"/>
      <c r="U682" s="1277"/>
      <c r="V682" s="1277"/>
      <c r="W682" s="1277"/>
      <c r="X682" s="1277"/>
      <c r="Y682" s="1277"/>
      <c r="Z682" s="1277"/>
    </row>
    <row r="683" spans="1:26" ht="18.75">
      <c r="A683" s="1300"/>
      <c r="B683" s="1301"/>
      <c r="C683" s="1301"/>
      <c r="D683" s="1301"/>
      <c r="E683" s="994"/>
      <c r="F683" s="994" t="s">
        <v>292</v>
      </c>
      <c r="G683" s="987"/>
      <c r="H683" s="757" t="s">
        <v>46</v>
      </c>
      <c r="I683" s="863"/>
      <c r="J683" s="992">
        <v>0</v>
      </c>
      <c r="K683" s="864"/>
      <c r="L683" s="978"/>
      <c r="M683" s="978"/>
      <c r="N683" s="978"/>
      <c r="O683" s="978"/>
      <c r="P683" s="978"/>
      <c r="Q683" s="1277"/>
      <c r="R683" s="1277"/>
      <c r="S683" s="1277"/>
      <c r="T683" s="1277"/>
      <c r="U683" s="1277"/>
      <c r="V683" s="1277"/>
      <c r="W683" s="1277"/>
      <c r="X683" s="1277"/>
      <c r="Y683" s="1277"/>
      <c r="Z683" s="1277"/>
    </row>
    <row r="684" spans="1:26" ht="19.5">
      <c r="A684" s="1406"/>
      <c r="B684" s="1407" t="s">
        <v>293</v>
      </c>
      <c r="C684" s="1406"/>
      <c r="D684" s="1406"/>
      <c r="E684" s="1406"/>
      <c r="F684" s="1406"/>
      <c r="G684" s="1408"/>
      <c r="H684" s="1408"/>
      <c r="I684" s="1409"/>
      <c r="J684" s="1409"/>
      <c r="K684" s="1410"/>
      <c r="L684" s="1410"/>
      <c r="M684" s="1410"/>
      <c r="N684" s="1410"/>
      <c r="O684" s="1410"/>
      <c r="P684" s="1410"/>
      <c r="Q684" s="1277"/>
      <c r="R684" s="1277"/>
      <c r="S684" s="1277"/>
      <c r="T684" s="1277"/>
      <c r="U684" s="1277"/>
      <c r="V684" s="1277"/>
      <c r="W684" s="1277"/>
      <c r="X684" s="1277"/>
      <c r="Y684" s="1277"/>
      <c r="Z684" s="1277"/>
    </row>
    <row r="685" spans="1:26" ht="19.5">
      <c r="A685" s="1292"/>
      <c r="B685" s="1276"/>
      <c r="C685" s="1276" t="s">
        <v>16</v>
      </c>
      <c r="D685" s="1555" t="s">
        <v>17</v>
      </c>
      <c r="E685" s="1533"/>
      <c r="F685" s="1533"/>
      <c r="G685" s="996"/>
      <c r="H685" s="592" t="s">
        <v>12</v>
      </c>
      <c r="I685" s="863"/>
      <c r="J685" s="863"/>
      <c r="K685" s="864"/>
      <c r="L685" s="1000">
        <f t="shared" ref="L685:N685" ca="1" si="282">L686+L687</f>
        <v>11840</v>
      </c>
      <c r="M685" s="1000">
        <f t="shared" si="282"/>
        <v>0</v>
      </c>
      <c r="N685" s="1000">
        <f t="shared" si="282"/>
        <v>0</v>
      </c>
      <c r="O685" s="1000">
        <f t="shared" ref="O685:O688" ca="1" si="283">IF(L685&gt;0,N685*100/L685,0)</f>
        <v>0</v>
      </c>
      <c r="P685" s="1000">
        <f t="shared" ref="P685:P688" si="284">IF(M685&gt;0,N685*100/M685,0)</f>
        <v>0</v>
      </c>
      <c r="Q685" s="1277"/>
      <c r="R685" s="1277"/>
      <c r="S685" s="1277"/>
      <c r="T685" s="1277"/>
      <c r="U685" s="1277"/>
      <c r="V685" s="1277"/>
      <c r="W685" s="1277"/>
      <c r="X685" s="1277"/>
      <c r="Y685" s="1277"/>
      <c r="Z685" s="1277"/>
    </row>
    <row r="686" spans="1:26" ht="18.75" hidden="1">
      <c r="A686" s="1293"/>
      <c r="B686" s="1294"/>
      <c r="C686" s="1294"/>
      <c r="D686" s="1295"/>
      <c r="E686" s="1294" t="s">
        <v>184</v>
      </c>
      <c r="F686" s="1294"/>
      <c r="G686" s="1296"/>
      <c r="H686" s="165" t="s">
        <v>12</v>
      </c>
      <c r="I686" s="869"/>
      <c r="J686" s="869"/>
      <c r="K686" s="870"/>
      <c r="L686" s="870">
        <f t="shared" ref="L686:N687" si="285">L689+L696</f>
        <v>0</v>
      </c>
      <c r="M686" s="870">
        <f t="shared" si="285"/>
        <v>0</v>
      </c>
      <c r="N686" s="870">
        <f t="shared" si="285"/>
        <v>0</v>
      </c>
      <c r="O686" s="870">
        <f t="shared" si="283"/>
        <v>0</v>
      </c>
      <c r="P686" s="870">
        <f t="shared" si="284"/>
        <v>0</v>
      </c>
      <c r="Q686" s="1297"/>
      <c r="R686" s="1297"/>
      <c r="S686" s="1297"/>
      <c r="T686" s="1297"/>
      <c r="U686" s="1297"/>
      <c r="V686" s="1297"/>
      <c r="W686" s="1297"/>
      <c r="X686" s="1297"/>
      <c r="Y686" s="1297"/>
      <c r="Z686" s="1297"/>
    </row>
    <row r="687" spans="1:26" ht="18.75" hidden="1">
      <c r="A687" s="1293"/>
      <c r="B687" s="1298"/>
      <c r="C687" s="1294"/>
      <c r="D687" s="1295"/>
      <c r="E687" s="1294" t="s">
        <v>185</v>
      </c>
      <c r="F687" s="1294"/>
      <c r="G687" s="1296"/>
      <c r="H687" s="165" t="s">
        <v>12</v>
      </c>
      <c r="I687" s="869"/>
      <c r="J687" s="869"/>
      <c r="K687" s="870"/>
      <c r="L687" s="870">
        <f t="shared" ca="1" si="285"/>
        <v>11840</v>
      </c>
      <c r="M687" s="870">
        <f t="shared" si="285"/>
        <v>0</v>
      </c>
      <c r="N687" s="870">
        <f t="shared" si="285"/>
        <v>0</v>
      </c>
      <c r="O687" s="870">
        <f t="shared" ca="1" si="283"/>
        <v>0</v>
      </c>
      <c r="P687" s="870">
        <f t="shared" si="284"/>
        <v>0</v>
      </c>
      <c r="Q687" s="1297"/>
      <c r="R687" s="1297"/>
      <c r="S687" s="1297"/>
      <c r="T687" s="1297"/>
      <c r="U687" s="1297"/>
      <c r="V687" s="1297"/>
      <c r="W687" s="1297"/>
      <c r="X687" s="1297"/>
      <c r="Y687" s="1297"/>
      <c r="Z687" s="1297"/>
    </row>
    <row r="688" spans="1:26" ht="18.75">
      <c r="A688" s="1292"/>
      <c r="B688" s="1275"/>
      <c r="C688" s="1276"/>
      <c r="D688" s="1299" t="s">
        <v>20</v>
      </c>
      <c r="E688" s="1276"/>
      <c r="F688" s="1276"/>
      <c r="G688" s="996"/>
      <c r="H688" s="161" t="s">
        <v>12</v>
      </c>
      <c r="I688" s="977"/>
      <c r="J688" s="977"/>
      <c r="K688" s="978"/>
      <c r="L688" s="864">
        <f t="shared" ref="L688:N688" ca="1" si="286">L689+L690</f>
        <v>11840</v>
      </c>
      <c r="M688" s="864">
        <f t="shared" si="286"/>
        <v>0</v>
      </c>
      <c r="N688" s="864">
        <f t="shared" si="286"/>
        <v>0</v>
      </c>
      <c r="O688" s="864">
        <f t="shared" ca="1" si="283"/>
        <v>0</v>
      </c>
      <c r="P688" s="864">
        <f t="shared" si="284"/>
        <v>0</v>
      </c>
      <c r="Q688" s="1277"/>
      <c r="R688" s="1277"/>
      <c r="S688" s="1277"/>
      <c r="T688" s="1277"/>
      <c r="U688" s="1277"/>
      <c r="V688" s="1277"/>
      <c r="W688" s="1277"/>
      <c r="X688" s="1277"/>
      <c r="Y688" s="1277"/>
      <c r="Z688" s="1277"/>
    </row>
    <row r="689" spans="1:26" ht="18.75" hidden="1">
      <c r="A689" s="1293"/>
      <c r="B689" s="1298"/>
      <c r="C689" s="1294"/>
      <c r="D689" s="1295"/>
      <c r="E689" s="1294" t="s">
        <v>184</v>
      </c>
      <c r="F689" s="1294"/>
      <c r="G689" s="1296"/>
      <c r="H689" s="165" t="s">
        <v>12</v>
      </c>
      <c r="I689" s="869"/>
      <c r="J689" s="869"/>
      <c r="K689" s="870"/>
      <c r="L689" s="870">
        <v>0</v>
      </c>
      <c r="M689" s="870">
        <v>0</v>
      </c>
      <c r="N689" s="870">
        <v>0</v>
      </c>
      <c r="O689" s="870"/>
      <c r="P689" s="870"/>
      <c r="Q689" s="1297"/>
      <c r="R689" s="1297"/>
      <c r="S689" s="1297"/>
      <c r="T689" s="1297"/>
      <c r="U689" s="1297"/>
      <c r="V689" s="1297"/>
      <c r="W689" s="1297"/>
      <c r="X689" s="1297"/>
      <c r="Y689" s="1297"/>
      <c r="Z689" s="1297"/>
    </row>
    <row r="690" spans="1:26" ht="18.75" hidden="1">
      <c r="A690" s="1293"/>
      <c r="B690" s="1298"/>
      <c r="C690" s="1294"/>
      <c r="D690" s="1295"/>
      <c r="E690" s="1294" t="s">
        <v>185</v>
      </c>
      <c r="F690" s="1294"/>
      <c r="G690" s="1296"/>
      <c r="H690" s="165" t="s">
        <v>12</v>
      </c>
      <c r="I690" s="869"/>
      <c r="J690" s="869"/>
      <c r="K690" s="870"/>
      <c r="L690" s="870">
        <f ca="1">IFERROR(__xludf.DUMMYFUNCTION("IMPORTRANGE(""https://docs.google.com/spreadsheets/d/1QqKyyYR6Q21VydFLVH3TRQUabQu_ym0Zz7PgGX0-kHA/edit?usp=sharing"",""แผน!HW51"")"),11840)</f>
        <v>11840</v>
      </c>
      <c r="M690" s="870">
        <v>0</v>
      </c>
      <c r="N690" s="870">
        <f>N691+N692+N693+N694</f>
        <v>0</v>
      </c>
      <c r="O690" s="870">
        <f ca="1">IF(L690&gt;0,N690*100/L690,0)</f>
        <v>0</v>
      </c>
      <c r="P690" s="870">
        <f>IF(M690&gt;0,N690*100/M690,0)</f>
        <v>0</v>
      </c>
      <c r="Q690" s="1297"/>
      <c r="R690" s="1297"/>
      <c r="S690" s="1297"/>
      <c r="T690" s="1297"/>
      <c r="U690" s="1297"/>
      <c r="V690" s="1297"/>
      <c r="W690" s="1297"/>
      <c r="X690" s="1297"/>
      <c r="Y690" s="1297"/>
      <c r="Z690" s="1297"/>
    </row>
    <row r="691" spans="1:26" ht="18.75">
      <c r="A691" s="1274"/>
      <c r="B691" s="1275"/>
      <c r="C691" s="1276"/>
      <c r="D691" s="1276"/>
      <c r="E691" s="1276"/>
      <c r="F691" s="1276" t="s">
        <v>186</v>
      </c>
      <c r="G691" s="996"/>
      <c r="H691" s="161" t="s">
        <v>12</v>
      </c>
      <c r="I691" s="863"/>
      <c r="J691" s="863"/>
      <c r="K691" s="864"/>
      <c r="L691" s="864"/>
      <c r="M691" s="864"/>
      <c r="N691" s="1064">
        <v>0</v>
      </c>
      <c r="O691" s="864"/>
      <c r="P691" s="864"/>
      <c r="Q691" s="1277"/>
      <c r="R691" s="1277"/>
      <c r="S691" s="1277"/>
      <c r="T691" s="1277"/>
      <c r="U691" s="1277"/>
      <c r="V691" s="1277"/>
      <c r="W691" s="1277"/>
      <c r="X691" s="1277"/>
      <c r="Y691" s="1277"/>
      <c r="Z691" s="1277"/>
    </row>
    <row r="692" spans="1:26" ht="18.75">
      <c r="A692" s="1274"/>
      <c r="B692" s="1275"/>
      <c r="C692" s="1276"/>
      <c r="D692" s="1276"/>
      <c r="E692" s="1276"/>
      <c r="F692" s="1276" t="s">
        <v>187</v>
      </c>
      <c r="G692" s="996"/>
      <c r="H692" s="161" t="s">
        <v>12</v>
      </c>
      <c r="I692" s="863"/>
      <c r="J692" s="863"/>
      <c r="K692" s="864"/>
      <c r="L692" s="864"/>
      <c r="M692" s="864"/>
      <c r="N692" s="1064">
        <v>0</v>
      </c>
      <c r="O692" s="864"/>
      <c r="P692" s="864"/>
      <c r="Q692" s="1277"/>
      <c r="R692" s="1277"/>
      <c r="S692" s="1277"/>
      <c r="T692" s="1277"/>
      <c r="U692" s="1277"/>
      <c r="V692" s="1277"/>
      <c r="W692" s="1277"/>
      <c r="X692" s="1277"/>
      <c r="Y692" s="1277"/>
      <c r="Z692" s="1277"/>
    </row>
    <row r="693" spans="1:26" ht="18.75">
      <c r="A693" s="1274"/>
      <c r="B693" s="1275"/>
      <c r="C693" s="1276"/>
      <c r="D693" s="1276"/>
      <c r="E693" s="1276"/>
      <c r="F693" s="1276" t="s">
        <v>188</v>
      </c>
      <c r="G693" s="996"/>
      <c r="H693" s="161" t="s">
        <v>12</v>
      </c>
      <c r="I693" s="863"/>
      <c r="J693" s="863"/>
      <c r="K693" s="864"/>
      <c r="L693" s="864"/>
      <c r="M693" s="864"/>
      <c r="N693" s="1064">
        <v>0</v>
      </c>
      <c r="O693" s="864"/>
      <c r="P693" s="864"/>
      <c r="Q693" s="1277"/>
      <c r="R693" s="1277"/>
      <c r="S693" s="1277"/>
      <c r="T693" s="1277"/>
      <c r="U693" s="1277"/>
      <c r="V693" s="1277"/>
      <c r="W693" s="1277"/>
      <c r="X693" s="1277"/>
      <c r="Y693" s="1277"/>
      <c r="Z693" s="1277"/>
    </row>
    <row r="694" spans="1:26" ht="18.75">
      <c r="A694" s="1274"/>
      <c r="B694" s="1275"/>
      <c r="C694" s="1276"/>
      <c r="D694" s="1276"/>
      <c r="E694" s="1276"/>
      <c r="F694" s="1276" t="s">
        <v>189</v>
      </c>
      <c r="G694" s="996"/>
      <c r="H694" s="161" t="s">
        <v>12</v>
      </c>
      <c r="I694" s="863"/>
      <c r="J694" s="863"/>
      <c r="K694" s="864"/>
      <c r="L694" s="864"/>
      <c r="M694" s="864"/>
      <c r="N694" s="1064">
        <v>0</v>
      </c>
      <c r="O694" s="864"/>
      <c r="P694" s="864"/>
      <c r="Q694" s="1277"/>
      <c r="R694" s="1277"/>
      <c r="S694" s="1277"/>
      <c r="T694" s="1277"/>
      <c r="U694" s="1277"/>
      <c r="V694" s="1277"/>
      <c r="W694" s="1277"/>
      <c r="X694" s="1277"/>
      <c r="Y694" s="1277"/>
      <c r="Z694" s="1277"/>
    </row>
    <row r="695" spans="1:26" ht="18.75">
      <c r="A695" s="1292"/>
      <c r="B695" s="1275"/>
      <c r="C695" s="1276"/>
      <c r="D695" s="1299" t="s">
        <v>21</v>
      </c>
      <c r="E695" s="1276"/>
      <c r="F695" s="1276"/>
      <c r="G695" s="996"/>
      <c r="H695" s="168" t="s">
        <v>12</v>
      </c>
      <c r="I695" s="977"/>
      <c r="J695" s="977"/>
      <c r="K695" s="978"/>
      <c r="L695" s="864">
        <f t="shared" ref="L695:N695" si="287">L696+L697</f>
        <v>0</v>
      </c>
      <c r="M695" s="864">
        <f t="shared" si="287"/>
        <v>0</v>
      </c>
      <c r="N695" s="864">
        <f t="shared" si="287"/>
        <v>0</v>
      </c>
      <c r="O695" s="864">
        <f t="shared" ref="O695:O697" si="288">IF(L695&gt;0,N695*100/L695,0)</f>
        <v>0</v>
      </c>
      <c r="P695" s="864">
        <f t="shared" ref="P695:P697" si="289">IF(M695&gt;0,N695*100/M695,0)</f>
        <v>0</v>
      </c>
      <c r="Q695" s="1277"/>
      <c r="R695" s="1277"/>
      <c r="S695" s="1277"/>
      <c r="T695" s="1277"/>
      <c r="U695" s="1277"/>
      <c r="V695" s="1277"/>
      <c r="W695" s="1277"/>
      <c r="X695" s="1277"/>
      <c r="Y695" s="1277"/>
      <c r="Z695" s="1277"/>
    </row>
    <row r="696" spans="1:26" ht="18.75" hidden="1">
      <c r="A696" s="1293"/>
      <c r="B696" s="1298"/>
      <c r="C696" s="1294"/>
      <c r="D696" s="1294"/>
      <c r="E696" s="1294" t="s">
        <v>18</v>
      </c>
      <c r="F696" s="1294"/>
      <c r="G696" s="1296"/>
      <c r="H696" s="165" t="s">
        <v>12</v>
      </c>
      <c r="I696" s="980"/>
      <c r="J696" s="980"/>
      <c r="K696" s="981"/>
      <c r="L696" s="870">
        <v>0</v>
      </c>
      <c r="M696" s="870">
        <v>0</v>
      </c>
      <c r="N696" s="870">
        <v>0</v>
      </c>
      <c r="O696" s="870">
        <f t="shared" si="288"/>
        <v>0</v>
      </c>
      <c r="P696" s="870">
        <f t="shared" si="289"/>
        <v>0</v>
      </c>
      <c r="Q696" s="1297"/>
      <c r="R696" s="1297"/>
      <c r="S696" s="1297"/>
      <c r="T696" s="1297"/>
      <c r="U696" s="1297"/>
      <c r="V696" s="1297"/>
      <c r="W696" s="1297"/>
      <c r="X696" s="1297"/>
      <c r="Y696" s="1297"/>
      <c r="Z696" s="1297"/>
    </row>
    <row r="697" spans="1:26" ht="18.75" hidden="1">
      <c r="A697" s="1293"/>
      <c r="B697" s="1298"/>
      <c r="C697" s="1294"/>
      <c r="D697" s="1294"/>
      <c r="E697" s="1294" t="s">
        <v>19</v>
      </c>
      <c r="F697" s="1294"/>
      <c r="G697" s="1296"/>
      <c r="H697" s="169" t="s">
        <v>12</v>
      </c>
      <c r="I697" s="980"/>
      <c r="J697" s="980"/>
      <c r="K697" s="981"/>
      <c r="L697" s="870">
        <v>0</v>
      </c>
      <c r="M697" s="870">
        <v>0</v>
      </c>
      <c r="N697" s="870">
        <v>0</v>
      </c>
      <c r="O697" s="870">
        <f t="shared" si="288"/>
        <v>0</v>
      </c>
      <c r="P697" s="870">
        <f t="shared" si="289"/>
        <v>0</v>
      </c>
      <c r="Q697" s="1297"/>
      <c r="R697" s="1297"/>
      <c r="S697" s="1297"/>
      <c r="T697" s="1297"/>
      <c r="U697" s="1297"/>
      <c r="V697" s="1297"/>
      <c r="W697" s="1297"/>
      <c r="X697" s="1297"/>
      <c r="Y697" s="1297"/>
      <c r="Z697" s="1297"/>
    </row>
    <row r="698" spans="1:26" ht="19.5">
      <c r="A698" s="1300"/>
      <c r="B698" s="1301"/>
      <c r="C698" s="1276" t="s">
        <v>16</v>
      </c>
      <c r="D698" s="1411" t="s">
        <v>38</v>
      </c>
      <c r="E698" s="1304"/>
      <c r="F698" s="1304"/>
      <c r="G698" s="1305"/>
      <c r="H698" s="987"/>
      <c r="I698" s="977"/>
      <c r="J698" s="977"/>
      <c r="K698" s="978"/>
      <c r="L698" s="978"/>
      <c r="M698" s="978"/>
      <c r="N698" s="978"/>
      <c r="O698" s="978"/>
      <c r="P698" s="978"/>
      <c r="Q698" s="1277"/>
      <c r="R698" s="1277"/>
      <c r="S698" s="1277"/>
      <c r="T698" s="1277"/>
      <c r="U698" s="1277"/>
      <c r="V698" s="1277"/>
      <c r="W698" s="1277"/>
      <c r="X698" s="1277"/>
      <c r="Y698" s="1277"/>
      <c r="Z698" s="1277"/>
    </row>
    <row r="699" spans="1:26" ht="18.75">
      <c r="A699" s="1401"/>
      <c r="B699" s="1276"/>
      <c r="C699" s="1276"/>
      <c r="D699" s="1276" t="s">
        <v>294</v>
      </c>
      <c r="E699" s="1276"/>
      <c r="F699" s="1276"/>
      <c r="G699" s="996"/>
      <c r="H699" s="757" t="s">
        <v>46</v>
      </c>
      <c r="I699" s="1412">
        <f ca="1">IFERROR(__xludf.DUMMYFUNCTION("IMPORTRANGE(""https://docs.google.com/spreadsheets/d/1QqKyyYR6Q21VydFLVH3TRQUabQu_ym0Zz7PgGX0-kHA/edit?usp=sharing"",""แผน!IC51"")"),88)</f>
        <v>88</v>
      </c>
      <c r="J699" s="863">
        <f ca="1">IFERROR(__xludf.DUMMYFUNCTION("IMPORTRANGE(""https://docs.google.com/spreadsheets/d/1XWAQStnk-4SwqDmLtmXYiTMKHgktTP8We1SCoS47DrQ/edit?usp=sharing"",""จัดที่ดิน!BB51"")"),0)</f>
        <v>0</v>
      </c>
      <c r="K699" s="864">
        <f t="shared" ref="K699:K701" ca="1" si="290">IF(I699&gt;0,J699*100/I699,0)</f>
        <v>0</v>
      </c>
      <c r="L699" s="864"/>
      <c r="M699" s="996"/>
      <c r="N699" s="1413"/>
      <c r="O699" s="864"/>
      <c r="P699" s="864"/>
      <c r="Q699" s="1277"/>
      <c r="R699" s="1277"/>
      <c r="S699" s="1277"/>
      <c r="T699" s="1277"/>
      <c r="U699" s="1277"/>
      <c r="V699" s="1277"/>
      <c r="W699" s="1277"/>
      <c r="X699" s="1277"/>
      <c r="Y699" s="1277"/>
      <c r="Z699" s="1277"/>
    </row>
    <row r="700" spans="1:26" ht="18.75">
      <c r="A700" s="1401"/>
      <c r="B700" s="1276"/>
      <c r="C700" s="1276"/>
      <c r="D700" s="1276" t="s">
        <v>295</v>
      </c>
      <c r="E700" s="1276"/>
      <c r="F700" s="1276"/>
      <c r="G700" s="996"/>
      <c r="H700" s="757" t="s">
        <v>35</v>
      </c>
      <c r="I700" s="1412">
        <f ca="1">IFERROR(__xludf.DUMMYFUNCTION("IMPORTRANGE(""https://docs.google.com/spreadsheets/d/1QqKyyYR6Q21VydFLVH3TRQUabQu_ym0Zz7PgGX0-kHA/edit?usp=sharing"",""แผน!ID51"")"),17)</f>
        <v>17</v>
      </c>
      <c r="J700" s="863">
        <f ca="1">IFERROR(__xludf.DUMMYFUNCTION("IMPORTRANGE(""https://docs.google.com/spreadsheets/d/1XWAQStnk-4SwqDmLtmXYiTMKHgktTP8We1SCoS47DrQ/edit?usp=sharing"",""จัดที่ดิน!BD51"")"),10)</f>
        <v>10</v>
      </c>
      <c r="K700" s="864">
        <f t="shared" ca="1" si="290"/>
        <v>58.823529411764703</v>
      </c>
      <c r="L700" s="864"/>
      <c r="M700" s="996"/>
      <c r="N700" s="1413"/>
      <c r="O700" s="864"/>
      <c r="P700" s="864"/>
      <c r="Q700" s="1277"/>
      <c r="R700" s="1277"/>
      <c r="S700" s="1277"/>
      <c r="T700" s="1277"/>
      <c r="U700" s="1277"/>
      <c r="V700" s="1277"/>
      <c r="W700" s="1277"/>
      <c r="X700" s="1277"/>
      <c r="Y700" s="1277"/>
      <c r="Z700" s="1277"/>
    </row>
    <row r="701" spans="1:26" ht="19.5" hidden="1">
      <c r="A701" s="1401"/>
      <c r="B701" s="1276"/>
      <c r="C701" s="1276"/>
      <c r="D701" s="1276" t="s">
        <v>296</v>
      </c>
      <c r="E701" s="1276"/>
      <c r="F701" s="1276"/>
      <c r="G701" s="996"/>
      <c r="H701" s="760" t="s">
        <v>46</v>
      </c>
      <c r="I701" s="1414">
        <f ca="1">IFERROR(__xludf.DUMMYFUNCTION("IMPORTRANGE(""https://docs.google.com/spreadsheets/d/1QqKyyYR6Q21VydFLVH3TRQUabQu_ym0Zz7PgGX0-kHA/edit?usp=sharing"",""แผน!IE51"")"),0)</f>
        <v>0</v>
      </c>
      <c r="J701" s="999">
        <f>J704+J707</f>
        <v>0</v>
      </c>
      <c r="K701" s="1000">
        <f t="shared" ca="1" si="290"/>
        <v>0</v>
      </c>
      <c r="L701" s="864"/>
      <c r="M701" s="996"/>
      <c r="N701" s="1413"/>
      <c r="O701" s="864"/>
      <c r="P701" s="864"/>
      <c r="Q701" s="1277"/>
      <c r="R701" s="1277"/>
      <c r="S701" s="1277"/>
      <c r="T701" s="1277"/>
      <c r="U701" s="1277"/>
      <c r="V701" s="1277"/>
      <c r="W701" s="1277"/>
      <c r="X701" s="1277"/>
      <c r="Y701" s="1277"/>
      <c r="Z701" s="1277"/>
    </row>
    <row r="702" spans="1:26" ht="18.75" hidden="1">
      <c r="A702" s="1401"/>
      <c r="B702" s="1276"/>
      <c r="C702" s="1276"/>
      <c r="D702" s="1276"/>
      <c r="E702" s="1276" t="s">
        <v>297</v>
      </c>
      <c r="F702" s="1276"/>
      <c r="G702" s="996"/>
      <c r="H702" s="757" t="s">
        <v>35</v>
      </c>
      <c r="I702" s="1412"/>
      <c r="J702" s="992">
        <v>0</v>
      </c>
      <c r="K702" s="864"/>
      <c r="L702" s="864"/>
      <c r="M702" s="996"/>
      <c r="N702" s="1413"/>
      <c r="O702" s="864"/>
      <c r="P702" s="864"/>
      <c r="Q702" s="1277"/>
      <c r="R702" s="1277"/>
      <c r="S702" s="1277"/>
      <c r="T702" s="1277"/>
      <c r="U702" s="1277"/>
      <c r="V702" s="1277"/>
      <c r="W702" s="1277"/>
      <c r="X702" s="1277"/>
      <c r="Y702" s="1277"/>
      <c r="Z702" s="1277"/>
    </row>
    <row r="703" spans="1:26" ht="18.75" hidden="1">
      <c r="A703" s="1401"/>
      <c r="B703" s="1276"/>
      <c r="C703" s="1276"/>
      <c r="D703" s="1276"/>
      <c r="E703" s="1276"/>
      <c r="F703" s="1276"/>
      <c r="G703" s="996"/>
      <c r="H703" s="757" t="s">
        <v>34</v>
      </c>
      <c r="I703" s="1412"/>
      <c r="J703" s="992">
        <v>0</v>
      </c>
      <c r="K703" s="864"/>
      <c r="L703" s="864"/>
      <c r="M703" s="996"/>
      <c r="N703" s="1413"/>
      <c r="O703" s="864"/>
      <c r="P703" s="864"/>
      <c r="Q703" s="1277"/>
      <c r="R703" s="1277"/>
      <c r="S703" s="1277"/>
      <c r="T703" s="1277"/>
      <c r="U703" s="1277"/>
      <c r="V703" s="1277"/>
      <c r="W703" s="1277"/>
      <c r="X703" s="1277"/>
      <c r="Y703" s="1277"/>
      <c r="Z703" s="1277"/>
    </row>
    <row r="704" spans="1:26" ht="18.75" hidden="1">
      <c r="A704" s="1401"/>
      <c r="B704" s="1276"/>
      <c r="C704" s="1276"/>
      <c r="D704" s="1276"/>
      <c r="E704" s="1276"/>
      <c r="F704" s="1276"/>
      <c r="G704" s="996"/>
      <c r="H704" s="757" t="s">
        <v>46</v>
      </c>
      <c r="I704" s="1412">
        <f ca="1">IFERROR(__xludf.DUMMYFUNCTION("IMPORTRANGE(""https://docs.google.com/spreadsheets/d/1QqKyyYR6Q21VydFLVH3TRQUabQu_ym0Zz7PgGX0-kHA/edit?usp=sharing"",""แผน!IF51"")"),0)</f>
        <v>0</v>
      </c>
      <c r="J704" s="992">
        <v>0</v>
      </c>
      <c r="K704" s="864"/>
      <c r="L704" s="864"/>
      <c r="M704" s="996"/>
      <c r="N704" s="1413"/>
      <c r="O704" s="864"/>
      <c r="P704" s="864"/>
      <c r="Q704" s="1277"/>
      <c r="R704" s="1277"/>
      <c r="S704" s="1277"/>
      <c r="T704" s="1277"/>
      <c r="U704" s="1277"/>
      <c r="V704" s="1277"/>
      <c r="W704" s="1277"/>
      <c r="X704" s="1277"/>
      <c r="Y704" s="1277"/>
      <c r="Z704" s="1277"/>
    </row>
    <row r="705" spans="1:26" ht="18.75" hidden="1">
      <c r="A705" s="1401"/>
      <c r="B705" s="1276"/>
      <c r="C705" s="1276"/>
      <c r="D705" s="1276"/>
      <c r="E705" s="1276" t="s">
        <v>298</v>
      </c>
      <c r="F705" s="1276"/>
      <c r="G705" s="996"/>
      <c r="H705" s="757" t="s">
        <v>35</v>
      </c>
      <c r="I705" s="1412"/>
      <c r="J705" s="992">
        <v>0</v>
      </c>
      <c r="K705" s="864"/>
      <c r="L705" s="864"/>
      <c r="M705" s="996"/>
      <c r="N705" s="1413"/>
      <c r="O705" s="864"/>
      <c r="P705" s="864"/>
      <c r="Q705" s="1277"/>
      <c r="R705" s="1277"/>
      <c r="S705" s="1277"/>
      <c r="T705" s="1277"/>
      <c r="U705" s="1277"/>
      <c r="V705" s="1277"/>
      <c r="W705" s="1277"/>
      <c r="X705" s="1277"/>
      <c r="Y705" s="1277"/>
      <c r="Z705" s="1277"/>
    </row>
    <row r="706" spans="1:26" ht="18.75" hidden="1">
      <c r="A706" s="1401"/>
      <c r="B706" s="1276"/>
      <c r="C706" s="1276"/>
      <c r="D706" s="1276"/>
      <c r="E706" s="1276"/>
      <c r="F706" s="1276"/>
      <c r="G706" s="996"/>
      <c r="H706" s="757" t="s">
        <v>34</v>
      </c>
      <c r="I706" s="1412"/>
      <c r="J706" s="992">
        <v>0</v>
      </c>
      <c r="K706" s="864"/>
      <c r="L706" s="864"/>
      <c r="M706" s="996"/>
      <c r="N706" s="1413"/>
      <c r="O706" s="864"/>
      <c r="P706" s="864"/>
      <c r="Q706" s="1277"/>
      <c r="R706" s="1277"/>
      <c r="S706" s="1277"/>
      <c r="T706" s="1277"/>
      <c r="U706" s="1277"/>
      <c r="V706" s="1277"/>
      <c r="W706" s="1277"/>
      <c r="X706" s="1277"/>
      <c r="Y706" s="1277"/>
      <c r="Z706" s="1277"/>
    </row>
    <row r="707" spans="1:26" ht="18.75" hidden="1">
      <c r="A707" s="1401"/>
      <c r="B707" s="1276"/>
      <c r="C707" s="1276"/>
      <c r="D707" s="1276"/>
      <c r="E707" s="1276"/>
      <c r="F707" s="1276"/>
      <c r="G707" s="996"/>
      <c r="H707" s="757" t="s">
        <v>46</v>
      </c>
      <c r="I707" s="1412">
        <f ca="1">IFERROR(__xludf.DUMMYFUNCTION("IMPORTRANGE(""https://docs.google.com/spreadsheets/d/1QqKyyYR6Q21VydFLVH3TRQUabQu_ym0Zz7PgGX0-kHA/edit?usp=sharing"",""แผน!IG51"")"),0)</f>
        <v>0</v>
      </c>
      <c r="J707" s="992">
        <v>0</v>
      </c>
      <c r="K707" s="864"/>
      <c r="L707" s="864"/>
      <c r="M707" s="996"/>
      <c r="N707" s="1413"/>
      <c r="O707" s="864"/>
      <c r="P707" s="864"/>
      <c r="Q707" s="1277"/>
      <c r="R707" s="1277"/>
      <c r="S707" s="1277"/>
      <c r="T707" s="1277"/>
      <c r="U707" s="1277"/>
      <c r="V707" s="1277"/>
      <c r="W707" s="1277"/>
      <c r="X707" s="1277"/>
      <c r="Y707" s="1277"/>
      <c r="Z707" s="1277"/>
    </row>
    <row r="708" spans="1:26" ht="19.5" hidden="1">
      <c r="A708" s="1401"/>
      <c r="B708" s="1276"/>
      <c r="C708" s="1276"/>
      <c r="D708" s="1355" t="s">
        <v>299</v>
      </c>
      <c r="E708" s="1276"/>
      <c r="F708" s="1276"/>
      <c r="G708" s="996"/>
      <c r="H708" s="760" t="s">
        <v>46</v>
      </c>
      <c r="I708" s="1414">
        <f ca="1">IFERROR(__xludf.DUMMYFUNCTION("IMPORTRANGE(""https://docs.google.com/spreadsheets/d/1QqKyyYR6Q21VydFLVH3TRQUabQu_ym0Zz7PgGX0-kHA/edit?usp=sharing"",""แผน!IH51"")"),0)</f>
        <v>0</v>
      </c>
      <c r="J708" s="999">
        <f>J714+J717</f>
        <v>0</v>
      </c>
      <c r="K708" s="1000">
        <f ca="1">IF(I708&gt;0,J708*100/I708,0)</f>
        <v>0</v>
      </c>
      <c r="L708" s="864"/>
      <c r="M708" s="996"/>
      <c r="N708" s="1413"/>
      <c r="O708" s="864"/>
      <c r="P708" s="864"/>
      <c r="Q708" s="1277"/>
      <c r="R708" s="1277"/>
      <c r="S708" s="1277"/>
      <c r="T708" s="1277"/>
      <c r="U708" s="1277"/>
      <c r="V708" s="1277"/>
      <c r="W708" s="1277"/>
      <c r="X708" s="1277"/>
      <c r="Y708" s="1277"/>
      <c r="Z708" s="1277"/>
    </row>
    <row r="709" spans="1:26" ht="18.75" hidden="1">
      <c r="A709" s="1401"/>
      <c r="B709" s="1276"/>
      <c r="C709" s="1276"/>
      <c r="D709" s="1276"/>
      <c r="E709" s="1276" t="s">
        <v>300</v>
      </c>
      <c r="F709" s="1276"/>
      <c r="G709" s="996"/>
      <c r="H709" s="757" t="s">
        <v>34</v>
      </c>
      <c r="I709" s="1412"/>
      <c r="J709" s="992">
        <v>0</v>
      </c>
      <c r="K709" s="864"/>
      <c r="L709" s="1413"/>
      <c r="M709" s="996"/>
      <c r="N709" s="1413"/>
      <c r="O709" s="864"/>
      <c r="P709" s="864"/>
      <c r="Q709" s="1277"/>
      <c r="R709" s="1277"/>
      <c r="S709" s="1277"/>
      <c r="T709" s="1277"/>
      <c r="U709" s="1277"/>
      <c r="V709" s="1277"/>
      <c r="W709" s="1277"/>
      <c r="X709" s="1277"/>
      <c r="Y709" s="1277"/>
      <c r="Z709" s="1277"/>
    </row>
    <row r="710" spans="1:26" ht="18.75" hidden="1">
      <c r="A710" s="1401"/>
      <c r="B710" s="1276"/>
      <c r="C710" s="1276"/>
      <c r="D710" s="1276"/>
      <c r="E710" s="1276"/>
      <c r="F710" s="1276"/>
      <c r="G710" s="996"/>
      <c r="H710" s="757" t="s">
        <v>46</v>
      </c>
      <c r="I710" s="1412"/>
      <c r="J710" s="992">
        <v>0</v>
      </c>
      <c r="K710" s="864"/>
      <c r="L710" s="1413"/>
      <c r="M710" s="996"/>
      <c r="N710" s="1413"/>
      <c r="O710" s="864"/>
      <c r="P710" s="864"/>
      <c r="Q710" s="1277"/>
      <c r="R710" s="1277"/>
      <c r="S710" s="1277"/>
      <c r="T710" s="1277"/>
      <c r="U710" s="1277"/>
      <c r="V710" s="1277"/>
      <c r="W710" s="1277"/>
      <c r="X710" s="1277"/>
      <c r="Y710" s="1277"/>
      <c r="Z710" s="1277"/>
    </row>
    <row r="711" spans="1:26" ht="18.75" hidden="1">
      <c r="A711" s="1401"/>
      <c r="B711" s="1276"/>
      <c r="C711" s="1276"/>
      <c r="D711" s="1276"/>
      <c r="E711" s="1276" t="s">
        <v>301</v>
      </c>
      <c r="F711" s="1276"/>
      <c r="G711" s="996"/>
      <c r="H711" s="987"/>
      <c r="I711" s="1412"/>
      <c r="J711" s="863"/>
      <c r="K711" s="864"/>
      <c r="L711" s="1413"/>
      <c r="M711" s="996"/>
      <c r="N711" s="1413"/>
      <c r="O711" s="864"/>
      <c r="P711" s="864"/>
      <c r="Q711" s="1277"/>
      <c r="R711" s="1277"/>
      <c r="S711" s="1277"/>
      <c r="T711" s="1277"/>
      <c r="U711" s="1277"/>
      <c r="V711" s="1277"/>
      <c r="W711" s="1277"/>
      <c r="X711" s="1277"/>
      <c r="Y711" s="1277"/>
      <c r="Z711" s="1277"/>
    </row>
    <row r="712" spans="1:26" ht="18.75" hidden="1">
      <c r="A712" s="1401"/>
      <c r="B712" s="1276"/>
      <c r="C712" s="1276"/>
      <c r="D712" s="1276"/>
      <c r="E712" s="1276"/>
      <c r="F712" s="1276" t="s">
        <v>302</v>
      </c>
      <c r="G712" s="996"/>
      <c r="H712" s="757" t="s">
        <v>35</v>
      </c>
      <c r="I712" s="1412"/>
      <c r="J712" s="992">
        <v>0</v>
      </c>
      <c r="K712" s="864"/>
      <c r="L712" s="1413"/>
      <c r="M712" s="996"/>
      <c r="N712" s="1413"/>
      <c r="O712" s="864"/>
      <c r="P712" s="864"/>
      <c r="Q712" s="1277"/>
      <c r="R712" s="1277"/>
      <c r="S712" s="1277"/>
      <c r="T712" s="1277"/>
      <c r="U712" s="1277"/>
      <c r="V712" s="1277"/>
      <c r="W712" s="1277"/>
      <c r="X712" s="1277"/>
      <c r="Y712" s="1277"/>
      <c r="Z712" s="1277"/>
    </row>
    <row r="713" spans="1:26" ht="18.75" hidden="1">
      <c r="A713" s="1401"/>
      <c r="B713" s="1276"/>
      <c r="C713" s="1276"/>
      <c r="D713" s="1276"/>
      <c r="E713" s="1276"/>
      <c r="F713" s="1276"/>
      <c r="G713" s="996"/>
      <c r="H713" s="757" t="s">
        <v>34</v>
      </c>
      <c r="I713" s="1412"/>
      <c r="J713" s="992">
        <v>0</v>
      </c>
      <c r="K713" s="864"/>
      <c r="L713" s="1413"/>
      <c r="M713" s="996"/>
      <c r="N713" s="1413"/>
      <c r="O713" s="864"/>
      <c r="P713" s="864"/>
      <c r="Q713" s="1277"/>
      <c r="R713" s="1277"/>
      <c r="S713" s="1277"/>
      <c r="T713" s="1277"/>
      <c r="U713" s="1277"/>
      <c r="V713" s="1277"/>
      <c r="W713" s="1277"/>
      <c r="X713" s="1277"/>
      <c r="Y713" s="1277"/>
      <c r="Z713" s="1277"/>
    </row>
    <row r="714" spans="1:26" ht="18.75" hidden="1">
      <c r="A714" s="1401"/>
      <c r="B714" s="1276"/>
      <c r="C714" s="1276"/>
      <c r="D714" s="1276"/>
      <c r="E714" s="1276"/>
      <c r="F714" s="1276"/>
      <c r="G714" s="996"/>
      <c r="H714" s="757" t="s">
        <v>46</v>
      </c>
      <c r="I714" s="1412"/>
      <c r="J714" s="992">
        <v>0</v>
      </c>
      <c r="K714" s="864"/>
      <c r="L714" s="1413"/>
      <c r="M714" s="996"/>
      <c r="N714" s="1413"/>
      <c r="O714" s="864"/>
      <c r="P714" s="864"/>
      <c r="Q714" s="1277"/>
      <c r="R714" s="1277"/>
      <c r="S714" s="1277"/>
      <c r="T714" s="1277"/>
      <c r="U714" s="1277"/>
      <c r="V714" s="1277"/>
      <c r="W714" s="1277"/>
      <c r="X714" s="1277"/>
      <c r="Y714" s="1277"/>
      <c r="Z714" s="1277"/>
    </row>
    <row r="715" spans="1:26" ht="18.75" hidden="1">
      <c r="A715" s="1401"/>
      <c r="B715" s="1276"/>
      <c r="C715" s="1276"/>
      <c r="D715" s="1276"/>
      <c r="E715" s="1276"/>
      <c r="F715" s="1276" t="s">
        <v>303</v>
      </c>
      <c r="G715" s="996"/>
      <c r="H715" s="757" t="s">
        <v>35</v>
      </c>
      <c r="I715" s="1412"/>
      <c r="J715" s="992">
        <v>0</v>
      </c>
      <c r="K715" s="864"/>
      <c r="L715" s="1413"/>
      <c r="M715" s="996"/>
      <c r="N715" s="1413"/>
      <c r="O715" s="864"/>
      <c r="P715" s="864"/>
      <c r="Q715" s="1277"/>
      <c r="R715" s="1277"/>
      <c r="S715" s="1277"/>
      <c r="T715" s="1277"/>
      <c r="U715" s="1277"/>
      <c r="V715" s="1277"/>
      <c r="W715" s="1277"/>
      <c r="X715" s="1277"/>
      <c r="Y715" s="1277"/>
      <c r="Z715" s="1277"/>
    </row>
    <row r="716" spans="1:26" ht="18.75" hidden="1">
      <c r="A716" s="1401"/>
      <c r="B716" s="1276"/>
      <c r="C716" s="1276"/>
      <c r="D716" s="1276"/>
      <c r="E716" s="1276"/>
      <c r="F716" s="1276"/>
      <c r="G716" s="996"/>
      <c r="H716" s="757" t="s">
        <v>34</v>
      </c>
      <c r="I716" s="1412"/>
      <c r="J716" s="992">
        <v>0</v>
      </c>
      <c r="K716" s="864"/>
      <c r="L716" s="1413"/>
      <c r="M716" s="996"/>
      <c r="N716" s="1413"/>
      <c r="O716" s="864"/>
      <c r="P716" s="864"/>
      <c r="Q716" s="1277"/>
      <c r="R716" s="1277"/>
      <c r="S716" s="1277"/>
      <c r="T716" s="1277"/>
      <c r="U716" s="1277"/>
      <c r="V716" s="1277"/>
      <c r="W716" s="1277"/>
      <c r="X716" s="1277"/>
      <c r="Y716" s="1277"/>
      <c r="Z716" s="1277"/>
    </row>
    <row r="717" spans="1:26" ht="18.75" hidden="1">
      <c r="A717" s="1401"/>
      <c r="B717" s="1276"/>
      <c r="C717" s="1276"/>
      <c r="D717" s="1276"/>
      <c r="E717" s="1276"/>
      <c r="F717" s="1276"/>
      <c r="G717" s="996"/>
      <c r="H717" s="757" t="s">
        <v>46</v>
      </c>
      <c r="I717" s="1412"/>
      <c r="J717" s="992">
        <v>0</v>
      </c>
      <c r="K717" s="864"/>
      <c r="L717" s="1413"/>
      <c r="M717" s="996"/>
      <c r="N717" s="1413"/>
      <c r="O717" s="864"/>
      <c r="P717" s="864"/>
      <c r="Q717" s="1277"/>
      <c r="R717" s="1277"/>
      <c r="S717" s="1277"/>
      <c r="T717" s="1277"/>
      <c r="U717" s="1277"/>
      <c r="V717" s="1277"/>
      <c r="W717" s="1277"/>
      <c r="X717" s="1277"/>
      <c r="Y717" s="1277"/>
      <c r="Z717" s="1277"/>
    </row>
    <row r="718" spans="1:26" ht="18.75" hidden="1">
      <c r="A718" s="1401"/>
      <c r="B718" s="1276"/>
      <c r="C718" s="1276"/>
      <c r="D718" s="1276" t="s">
        <v>304</v>
      </c>
      <c r="E718" s="1276"/>
      <c r="F718" s="1276"/>
      <c r="G718" s="996"/>
      <c r="H718" s="757" t="s">
        <v>35</v>
      </c>
      <c r="I718" s="1412"/>
      <c r="J718" s="863">
        <f ca="1">IFERROR(__xludf.DUMMYFUNCTION("IMPORTRANGE(""https://docs.google.com/spreadsheets/d/1XWAQStnk-4SwqDmLtmXYiTMKHgktTP8We1SCoS47DrQ/edit?usp=sharing"",""จัดที่ดิน!BF51"")"),0)</f>
        <v>0</v>
      </c>
      <c r="K718" s="864"/>
      <c r="L718" s="864"/>
      <c r="M718" s="996"/>
      <c r="N718" s="1413"/>
      <c r="O718" s="864"/>
      <c r="P718" s="864"/>
      <c r="Q718" s="1277"/>
      <c r="R718" s="1277"/>
      <c r="S718" s="1277"/>
      <c r="T718" s="1277"/>
      <c r="U718" s="1277"/>
      <c r="V718" s="1277"/>
      <c r="W718" s="1277"/>
      <c r="X718" s="1277"/>
      <c r="Y718" s="1277"/>
      <c r="Z718" s="1277"/>
    </row>
    <row r="719" spans="1:26" ht="18.75" hidden="1">
      <c r="A719" s="1401"/>
      <c r="B719" s="1276"/>
      <c r="C719" s="1276"/>
      <c r="D719" s="1276"/>
      <c r="E719" s="1276"/>
      <c r="F719" s="1276"/>
      <c r="G719" s="996"/>
      <c r="H719" s="757" t="s">
        <v>34</v>
      </c>
      <c r="I719" s="1412"/>
      <c r="J719" s="863">
        <f ca="1">IFERROR(__xludf.DUMMYFUNCTION("IMPORTRANGE(""https://docs.google.com/spreadsheets/d/1XWAQStnk-4SwqDmLtmXYiTMKHgktTP8We1SCoS47DrQ/edit?usp=sharing"",""จัดที่ดิน!BG51"")"),0)</f>
        <v>0</v>
      </c>
      <c r="K719" s="864"/>
      <c r="L719" s="1413"/>
      <c r="M719" s="996"/>
      <c r="N719" s="1413"/>
      <c r="O719" s="864"/>
      <c r="P719" s="864"/>
      <c r="Q719" s="1277"/>
      <c r="R719" s="1277"/>
      <c r="S719" s="1277"/>
      <c r="T719" s="1277"/>
      <c r="U719" s="1277"/>
      <c r="V719" s="1277"/>
      <c r="W719" s="1277"/>
      <c r="X719" s="1277"/>
      <c r="Y719" s="1277"/>
      <c r="Z719" s="1277"/>
    </row>
    <row r="720" spans="1:26" ht="18.75" hidden="1">
      <c r="A720" s="1401"/>
      <c r="B720" s="1276"/>
      <c r="C720" s="1276"/>
      <c r="D720" s="1276"/>
      <c r="E720" s="1276"/>
      <c r="F720" s="1276"/>
      <c r="G720" s="996"/>
      <c r="H720" s="757" t="s">
        <v>46</v>
      </c>
      <c r="I720" s="1412">
        <f ca="1">IFERROR(__xludf.DUMMYFUNCTION("IMPORTRANGE(""https://docs.google.com/spreadsheets/d/1QqKyyYR6Q21VydFLVH3TRQUabQu_ym0Zz7PgGX0-kHA/edit?usp=sharing"",""แผน!II51"")"),0)</f>
        <v>0</v>
      </c>
      <c r="J720" s="863">
        <f ca="1">IFERROR(__xludf.DUMMYFUNCTION("IMPORTRANGE(""https://docs.google.com/spreadsheets/d/1XWAQStnk-4SwqDmLtmXYiTMKHgktTP8We1SCoS47DrQ/edit?usp=sharing"",""จัดที่ดิน!BH51"")"),0)</f>
        <v>0</v>
      </c>
      <c r="K720" s="864">
        <f t="shared" ref="K720:K723" ca="1" si="291">IF(I720&gt;0,J720*100/I720,0)</f>
        <v>0</v>
      </c>
      <c r="L720" s="1413"/>
      <c r="M720" s="996"/>
      <c r="N720" s="1413"/>
      <c r="O720" s="864"/>
      <c r="P720" s="864"/>
      <c r="Q720" s="1277"/>
      <c r="R720" s="1277"/>
      <c r="S720" s="1277"/>
      <c r="T720" s="1277"/>
      <c r="U720" s="1277"/>
      <c r="V720" s="1277"/>
      <c r="W720" s="1277"/>
      <c r="X720" s="1277"/>
      <c r="Y720" s="1277"/>
      <c r="Z720" s="1277"/>
    </row>
    <row r="721" spans="1:26" ht="19.5" hidden="1">
      <c r="A721" s="1401"/>
      <c r="B721" s="1276"/>
      <c r="C721" s="1276"/>
      <c r="D721" s="1276" t="s">
        <v>305</v>
      </c>
      <c r="E721" s="1276"/>
      <c r="F721" s="1276"/>
      <c r="G721" s="996"/>
      <c r="H721" s="760" t="s">
        <v>35</v>
      </c>
      <c r="I721" s="1414">
        <f ca="1">IFERROR(__xludf.DUMMYFUNCTION("IMPORTRANGE(""https://docs.google.com/spreadsheets/d/1QqKyyYR6Q21VydFLVH3TRQUabQu_ym0Zz7PgGX0-kHA/edit?usp=sharing"",""แผน!IJ51"")"),0)</f>
        <v>0</v>
      </c>
      <c r="J721" s="999">
        <f ca="1">J723+J726</f>
        <v>0</v>
      </c>
      <c r="K721" s="1000">
        <f t="shared" ca="1" si="291"/>
        <v>0</v>
      </c>
      <c r="L721" s="1413"/>
      <c r="M721" s="996"/>
      <c r="N721" s="1413"/>
      <c r="O721" s="864"/>
      <c r="P721" s="864"/>
      <c r="Q721" s="1277"/>
      <c r="R721" s="1277"/>
      <c r="S721" s="1277"/>
      <c r="T721" s="1277"/>
      <c r="U721" s="1277"/>
      <c r="V721" s="1277"/>
      <c r="W721" s="1277"/>
      <c r="X721" s="1277"/>
      <c r="Y721" s="1277"/>
      <c r="Z721" s="1277"/>
    </row>
    <row r="722" spans="1:26" ht="19.5" hidden="1">
      <c r="A722" s="1401"/>
      <c r="B722" s="1276"/>
      <c r="C722" s="1276"/>
      <c r="D722" s="1276"/>
      <c r="E722" s="1276"/>
      <c r="F722" s="1276"/>
      <c r="G722" s="996"/>
      <c r="H722" s="760" t="s">
        <v>46</v>
      </c>
      <c r="I722" s="1414">
        <f ca="1">IFERROR(__xludf.DUMMYFUNCTION("IMPORTRANGE(""https://docs.google.com/spreadsheets/d/1QqKyyYR6Q21VydFLVH3TRQUabQu_ym0Zz7PgGX0-kHA/edit?usp=sharing"",""แผน!IK51"")"),0)</f>
        <v>0</v>
      </c>
      <c r="J722" s="999">
        <f ca="1">J725+J728</f>
        <v>0</v>
      </c>
      <c r="K722" s="1000">
        <f t="shared" ca="1" si="291"/>
        <v>0</v>
      </c>
      <c r="L722" s="864"/>
      <c r="M722" s="996"/>
      <c r="N722" s="1413"/>
      <c r="O722" s="864"/>
      <c r="P722" s="864"/>
      <c r="Q722" s="1277"/>
      <c r="R722" s="1277"/>
      <c r="S722" s="1277"/>
      <c r="T722" s="1277"/>
      <c r="U722" s="1277"/>
      <c r="V722" s="1277"/>
      <c r="W722" s="1277"/>
      <c r="X722" s="1277"/>
      <c r="Y722" s="1277"/>
      <c r="Z722" s="1277"/>
    </row>
    <row r="723" spans="1:26" ht="18.75" hidden="1">
      <c r="A723" s="1401"/>
      <c r="B723" s="1276"/>
      <c r="C723" s="1276"/>
      <c r="D723" s="1276"/>
      <c r="E723" s="1276" t="s">
        <v>306</v>
      </c>
      <c r="F723" s="1276"/>
      <c r="G723" s="996"/>
      <c r="H723" s="757" t="s">
        <v>35</v>
      </c>
      <c r="I723" s="1412">
        <f ca="1">IFERROR(__xludf.DUMMYFUNCTION("IMPORTRANGE(""https://docs.google.com/spreadsheets/d/1QqKyyYR6Q21VydFLVH3TRQUabQu_ym0Zz7PgGX0-kHA/edit?usp=sharing"",""แผน!IL51"")"),0)</f>
        <v>0</v>
      </c>
      <c r="J723" s="863">
        <f ca="1">IFERROR(__xludf.DUMMYFUNCTION("IMPORTRANGE(""https://docs.google.com/spreadsheets/d/1XWAQStnk-4SwqDmLtmXYiTMKHgktTP8We1SCoS47DrQ/edit?usp=sharing"",""จัดที่ดิน!BM51"")"),0)</f>
        <v>0</v>
      </c>
      <c r="K723" s="864">
        <f t="shared" ca="1" si="291"/>
        <v>0</v>
      </c>
      <c r="L723" s="864"/>
      <c r="M723" s="996"/>
      <c r="N723" s="1413"/>
      <c r="O723" s="864"/>
      <c r="P723" s="864"/>
      <c r="Q723" s="1277"/>
      <c r="R723" s="1277"/>
      <c r="S723" s="1277"/>
      <c r="T723" s="1277"/>
      <c r="U723" s="1277"/>
      <c r="V723" s="1277"/>
      <c r="W723" s="1277"/>
      <c r="X723" s="1277"/>
      <c r="Y723" s="1277"/>
      <c r="Z723" s="1277"/>
    </row>
    <row r="724" spans="1:26" ht="18.75" hidden="1">
      <c r="A724" s="1401"/>
      <c r="B724" s="1276"/>
      <c r="C724" s="1276"/>
      <c r="D724" s="1276"/>
      <c r="E724" s="1276"/>
      <c r="F724" s="1276"/>
      <c r="G724" s="996"/>
      <c r="H724" s="757" t="s">
        <v>34</v>
      </c>
      <c r="I724" s="1412"/>
      <c r="J724" s="863">
        <f ca="1">IFERROR(__xludf.DUMMYFUNCTION("IMPORTRANGE(""https://docs.google.com/spreadsheets/d/1XWAQStnk-4SwqDmLtmXYiTMKHgktTP8We1SCoS47DrQ/edit?usp=sharing"",""จัดที่ดิน!BN51"")"),0)</f>
        <v>0</v>
      </c>
      <c r="K724" s="864"/>
      <c r="L724" s="1413"/>
      <c r="M724" s="996"/>
      <c r="N724" s="1413"/>
      <c r="O724" s="864"/>
      <c r="P724" s="864"/>
      <c r="Q724" s="1277"/>
      <c r="R724" s="1277"/>
      <c r="S724" s="1277"/>
      <c r="T724" s="1277"/>
      <c r="U724" s="1277"/>
      <c r="V724" s="1277"/>
      <c r="W724" s="1277"/>
      <c r="X724" s="1277"/>
      <c r="Y724" s="1277"/>
      <c r="Z724" s="1277"/>
    </row>
    <row r="725" spans="1:26" ht="18.75" hidden="1">
      <c r="A725" s="1401"/>
      <c r="B725" s="1276"/>
      <c r="C725" s="1276"/>
      <c r="D725" s="1276"/>
      <c r="E725" s="1276"/>
      <c r="F725" s="1276"/>
      <c r="G725" s="996"/>
      <c r="H725" s="757" t="s">
        <v>46</v>
      </c>
      <c r="I725" s="1412">
        <f ca="1">IFERROR(__xludf.DUMMYFUNCTION("IMPORTRANGE(""https://docs.google.com/spreadsheets/d/1QqKyyYR6Q21VydFLVH3TRQUabQu_ym0Zz7PgGX0-kHA/edit?usp=sharing"",""แผน!IM51"")"),0)</f>
        <v>0</v>
      </c>
      <c r="J725" s="863">
        <f ca="1">IFERROR(__xludf.DUMMYFUNCTION("IMPORTRANGE(""https://docs.google.com/spreadsheets/d/1XWAQStnk-4SwqDmLtmXYiTMKHgktTP8We1SCoS47DrQ/edit?usp=sharing"",""จัดที่ดิน!BO51"")"),0)</f>
        <v>0</v>
      </c>
      <c r="K725" s="864">
        <f t="shared" ref="K725:K726" ca="1" si="292">IF(I725&gt;0,J725*100/I725,0)</f>
        <v>0</v>
      </c>
      <c r="L725" s="1413"/>
      <c r="M725" s="996"/>
      <c r="N725" s="1413"/>
      <c r="O725" s="864"/>
      <c r="P725" s="864"/>
      <c r="Q725" s="1277"/>
      <c r="R725" s="1277"/>
      <c r="S725" s="1277"/>
      <c r="T725" s="1277"/>
      <c r="U725" s="1277"/>
      <c r="V725" s="1277"/>
      <c r="W725" s="1277"/>
      <c r="X725" s="1277"/>
      <c r="Y725" s="1277"/>
      <c r="Z725" s="1277"/>
    </row>
    <row r="726" spans="1:26" ht="18.75" hidden="1">
      <c r="A726" s="1401"/>
      <c r="B726" s="1276"/>
      <c r="C726" s="1276"/>
      <c r="D726" s="1276"/>
      <c r="E726" s="1276" t="s">
        <v>307</v>
      </c>
      <c r="F726" s="1276"/>
      <c r="G726" s="996"/>
      <c r="H726" s="757" t="s">
        <v>35</v>
      </c>
      <c r="I726" s="1412">
        <f ca="1">IFERROR(__xludf.DUMMYFUNCTION("IMPORTRANGE(""https://docs.google.com/spreadsheets/d/1QqKyyYR6Q21VydFLVH3TRQUabQu_ym0Zz7PgGX0-kHA/edit?usp=sharing"",""แผน!IN51"")"),0)</f>
        <v>0</v>
      </c>
      <c r="J726" s="863">
        <f ca="1">IFERROR(__xludf.DUMMYFUNCTION("IMPORTRANGE(""https://docs.google.com/spreadsheets/d/1XWAQStnk-4SwqDmLtmXYiTMKHgktTP8We1SCoS47DrQ/edit?usp=sharing"",""จัดที่ดิน!BR51"")"),0)</f>
        <v>0</v>
      </c>
      <c r="K726" s="864">
        <f t="shared" ca="1" si="292"/>
        <v>0</v>
      </c>
      <c r="L726" s="864"/>
      <c r="M726" s="996"/>
      <c r="N726" s="1413"/>
      <c r="O726" s="864"/>
      <c r="P726" s="864"/>
      <c r="Q726" s="1277"/>
      <c r="R726" s="1277"/>
      <c r="S726" s="1277"/>
      <c r="T726" s="1277"/>
      <c r="U726" s="1277"/>
      <c r="V726" s="1277"/>
      <c r="W726" s="1277"/>
      <c r="X726" s="1277"/>
      <c r="Y726" s="1277"/>
      <c r="Z726" s="1277"/>
    </row>
    <row r="727" spans="1:26" ht="18.75" hidden="1">
      <c r="A727" s="1401"/>
      <c r="B727" s="1276"/>
      <c r="C727" s="1276"/>
      <c r="D727" s="1276"/>
      <c r="E727" s="1276"/>
      <c r="F727" s="1276"/>
      <c r="G727" s="996"/>
      <c r="H727" s="757" t="s">
        <v>34</v>
      </c>
      <c r="I727" s="1412"/>
      <c r="J727" s="863">
        <f ca="1">IFERROR(__xludf.DUMMYFUNCTION("IMPORTRANGE(""https://docs.google.com/spreadsheets/d/1XWAQStnk-4SwqDmLtmXYiTMKHgktTP8We1SCoS47DrQ/edit?usp=sharing"",""จัดที่ดิน!BS51"")"),0)</f>
        <v>0</v>
      </c>
      <c r="K727" s="864"/>
      <c r="L727" s="1413"/>
      <c r="M727" s="996"/>
      <c r="N727" s="1413"/>
      <c r="O727" s="864"/>
      <c r="P727" s="864"/>
      <c r="Q727" s="1277"/>
      <c r="R727" s="1277"/>
      <c r="S727" s="1277"/>
      <c r="T727" s="1277"/>
      <c r="U727" s="1277"/>
      <c r="V727" s="1277"/>
      <c r="W727" s="1277"/>
      <c r="X727" s="1277"/>
      <c r="Y727" s="1277"/>
      <c r="Z727" s="1277"/>
    </row>
    <row r="728" spans="1:26" ht="18.75" hidden="1">
      <c r="A728" s="1401"/>
      <c r="B728" s="1276"/>
      <c r="C728" s="1276"/>
      <c r="D728" s="1276"/>
      <c r="E728" s="1276"/>
      <c r="F728" s="1276"/>
      <c r="G728" s="996"/>
      <c r="H728" s="757" t="s">
        <v>46</v>
      </c>
      <c r="I728" s="1412">
        <f ca="1">IFERROR(__xludf.DUMMYFUNCTION("IMPORTRANGE(""https://docs.google.com/spreadsheets/d/1QqKyyYR6Q21VydFLVH3TRQUabQu_ym0Zz7PgGX0-kHA/edit?usp=sharing"",""แผน!IO51"")"),0)</f>
        <v>0</v>
      </c>
      <c r="J728" s="863">
        <f ca="1">IFERROR(__xludf.DUMMYFUNCTION("IMPORTRANGE(""https://docs.google.com/spreadsheets/d/1XWAQStnk-4SwqDmLtmXYiTMKHgktTP8We1SCoS47DrQ/edit?usp=sharing"",""จัดที่ดิน!BT51"")"),0)</f>
        <v>0</v>
      </c>
      <c r="K728" s="864">
        <f t="shared" ref="K728:K729" ca="1" si="293">IF(I728&gt;0,J728*100/I728,0)</f>
        <v>0</v>
      </c>
      <c r="L728" s="1413"/>
      <c r="M728" s="996"/>
      <c r="N728" s="1413"/>
      <c r="O728" s="864"/>
      <c r="P728" s="864"/>
      <c r="Q728" s="1277"/>
      <c r="R728" s="1277"/>
      <c r="S728" s="1277"/>
      <c r="T728" s="1277"/>
      <c r="U728" s="1277"/>
      <c r="V728" s="1277"/>
      <c r="W728" s="1277"/>
      <c r="X728" s="1277"/>
      <c r="Y728" s="1277"/>
      <c r="Z728" s="1277"/>
    </row>
    <row r="729" spans="1:26" ht="19.5" hidden="1">
      <c r="A729" s="1401"/>
      <c r="B729" s="1276"/>
      <c r="C729" s="1276"/>
      <c r="D729" s="1276" t="s">
        <v>308</v>
      </c>
      <c r="E729" s="1276"/>
      <c r="F729" s="1276"/>
      <c r="G729" s="996"/>
      <c r="H729" s="760" t="s">
        <v>46</v>
      </c>
      <c r="I729" s="1414">
        <f ca="1">IFERROR(__xludf.DUMMYFUNCTION("IMPORTRANGE(""https://docs.google.com/spreadsheets/d/1QqKyyYR6Q21VydFLVH3TRQUabQu_ym0Zz7PgGX0-kHA/edit?usp=sharing"",""แผน!IP51"")"),0)</f>
        <v>0</v>
      </c>
      <c r="J729" s="999">
        <f>J732+J735</f>
        <v>0</v>
      </c>
      <c r="K729" s="1000">
        <f t="shared" ca="1" si="293"/>
        <v>0</v>
      </c>
      <c r="L729" s="864"/>
      <c r="M729" s="996"/>
      <c r="N729" s="1413"/>
      <c r="O729" s="864"/>
      <c r="P729" s="864"/>
      <c r="Q729" s="1277"/>
      <c r="R729" s="1277"/>
      <c r="S729" s="1277"/>
      <c r="T729" s="1277"/>
      <c r="U729" s="1277"/>
      <c r="V729" s="1277"/>
      <c r="W729" s="1277"/>
      <c r="X729" s="1277"/>
      <c r="Y729" s="1277"/>
      <c r="Z729" s="1277"/>
    </row>
    <row r="730" spans="1:26" ht="18.75" hidden="1">
      <c r="A730" s="1401"/>
      <c r="B730" s="1276"/>
      <c r="C730" s="1276"/>
      <c r="D730" s="1276"/>
      <c r="E730" s="1276" t="s">
        <v>309</v>
      </c>
      <c r="F730" s="1276"/>
      <c r="G730" s="996"/>
      <c r="H730" s="757" t="s">
        <v>35</v>
      </c>
      <c r="I730" s="1412"/>
      <c r="J730" s="992">
        <v>0</v>
      </c>
      <c r="K730" s="864"/>
      <c r="L730" s="1413"/>
      <c r="M730" s="864"/>
      <c r="N730" s="1413"/>
      <c r="O730" s="864"/>
      <c r="P730" s="864"/>
      <c r="Q730" s="1277"/>
      <c r="R730" s="1277"/>
      <c r="S730" s="1277"/>
      <c r="T730" s="1277"/>
      <c r="U730" s="1277"/>
      <c r="V730" s="1277"/>
      <c r="W730" s="1277"/>
      <c r="X730" s="1277"/>
      <c r="Y730" s="1277"/>
      <c r="Z730" s="1277"/>
    </row>
    <row r="731" spans="1:26" ht="18.75" hidden="1">
      <c r="A731" s="1401"/>
      <c r="B731" s="1276"/>
      <c r="C731" s="1276"/>
      <c r="D731" s="1276"/>
      <c r="E731" s="1276"/>
      <c r="F731" s="1276"/>
      <c r="G731" s="996"/>
      <c r="H731" s="757" t="s">
        <v>34</v>
      </c>
      <c r="I731" s="1412"/>
      <c r="J731" s="992">
        <v>0</v>
      </c>
      <c r="K731" s="864"/>
      <c r="L731" s="1413"/>
      <c r="M731" s="864"/>
      <c r="N731" s="1413"/>
      <c r="O731" s="864"/>
      <c r="P731" s="864"/>
      <c r="Q731" s="1277"/>
      <c r="R731" s="1277"/>
      <c r="S731" s="1277"/>
      <c r="T731" s="1277"/>
      <c r="U731" s="1277"/>
      <c r="V731" s="1277"/>
      <c r="W731" s="1277"/>
      <c r="X731" s="1277"/>
      <c r="Y731" s="1277"/>
      <c r="Z731" s="1277"/>
    </row>
    <row r="732" spans="1:26" ht="18.75" hidden="1">
      <c r="A732" s="1401"/>
      <c r="B732" s="1276"/>
      <c r="C732" s="1276"/>
      <c r="D732" s="1276"/>
      <c r="E732" s="1276"/>
      <c r="F732" s="1276"/>
      <c r="G732" s="996"/>
      <c r="H732" s="757" t="s">
        <v>46</v>
      </c>
      <c r="I732" s="1412"/>
      <c r="J732" s="992">
        <v>0</v>
      </c>
      <c r="K732" s="864"/>
      <c r="L732" s="1413"/>
      <c r="M732" s="864"/>
      <c r="N732" s="1413"/>
      <c r="O732" s="864"/>
      <c r="P732" s="864"/>
      <c r="Q732" s="1277"/>
      <c r="R732" s="1277"/>
      <c r="S732" s="1277"/>
      <c r="T732" s="1277"/>
      <c r="U732" s="1277"/>
      <c r="V732" s="1277"/>
      <c r="W732" s="1277"/>
      <c r="X732" s="1277"/>
      <c r="Y732" s="1277"/>
      <c r="Z732" s="1277"/>
    </row>
    <row r="733" spans="1:26" ht="18.75" hidden="1">
      <c r="A733" s="1401"/>
      <c r="B733" s="1276"/>
      <c r="C733" s="1276"/>
      <c r="D733" s="1276"/>
      <c r="E733" s="1276" t="s">
        <v>310</v>
      </c>
      <c r="F733" s="1276"/>
      <c r="G733" s="996"/>
      <c r="H733" s="757" t="s">
        <v>35</v>
      </c>
      <c r="I733" s="1412"/>
      <c r="J733" s="992">
        <v>0</v>
      </c>
      <c r="K733" s="864"/>
      <c r="L733" s="1413"/>
      <c r="M733" s="864"/>
      <c r="N733" s="1413"/>
      <c r="O733" s="864"/>
      <c r="P733" s="864"/>
      <c r="Q733" s="1277"/>
      <c r="R733" s="1277"/>
      <c r="S733" s="1277"/>
      <c r="T733" s="1277"/>
      <c r="U733" s="1277"/>
      <c r="V733" s="1277"/>
      <c r="W733" s="1277"/>
      <c r="X733" s="1277"/>
      <c r="Y733" s="1277"/>
      <c r="Z733" s="1277"/>
    </row>
    <row r="734" spans="1:26" ht="18.75" hidden="1">
      <c r="A734" s="1401"/>
      <c r="B734" s="1276"/>
      <c r="C734" s="1276"/>
      <c r="D734" s="1276"/>
      <c r="E734" s="1276"/>
      <c r="F734" s="1276"/>
      <c r="G734" s="996"/>
      <c r="H734" s="757" t="s">
        <v>34</v>
      </c>
      <c r="I734" s="1412"/>
      <c r="J734" s="992">
        <v>0</v>
      </c>
      <c r="K734" s="864"/>
      <c r="L734" s="1413"/>
      <c r="M734" s="864"/>
      <c r="N734" s="1413"/>
      <c r="O734" s="864"/>
      <c r="P734" s="864"/>
      <c r="Q734" s="1277"/>
      <c r="R734" s="1277"/>
      <c r="S734" s="1277"/>
      <c r="T734" s="1277"/>
      <c r="U734" s="1277"/>
      <c r="V734" s="1277"/>
      <c r="W734" s="1277"/>
      <c r="X734" s="1277"/>
      <c r="Y734" s="1277"/>
      <c r="Z734" s="1277"/>
    </row>
    <row r="735" spans="1:26" ht="19.5" hidden="1">
      <c r="A735" s="1415"/>
      <c r="B735" s="1416" t="s">
        <v>311</v>
      </c>
      <c r="C735" s="1149"/>
      <c r="D735" s="1149"/>
      <c r="E735" s="1149"/>
      <c r="F735" s="1149"/>
      <c r="G735" s="1394"/>
      <c r="H735" s="422" t="s">
        <v>46</v>
      </c>
      <c r="I735" s="1417"/>
      <c r="J735" s="1151">
        <v>0</v>
      </c>
      <c r="K735" s="1215"/>
      <c r="L735" s="1418"/>
      <c r="M735" s="1215"/>
      <c r="N735" s="1418"/>
      <c r="O735" s="1215"/>
      <c r="P735" s="1215"/>
      <c r="Q735" s="1277"/>
      <c r="R735" s="1277"/>
      <c r="S735" s="1277"/>
      <c r="T735" s="1277"/>
      <c r="U735" s="1277"/>
      <c r="V735" s="1277"/>
      <c r="W735" s="1277"/>
      <c r="X735" s="1277"/>
      <c r="Y735" s="1277"/>
      <c r="Z735" s="1277"/>
    </row>
    <row r="736" spans="1:26" ht="19.5" hidden="1">
      <c r="A736" s="767">
        <v>9</v>
      </c>
      <c r="B736" s="1419" t="s">
        <v>312</v>
      </c>
      <c r="C736" s="1420"/>
      <c r="D736" s="1420"/>
      <c r="E736" s="1420"/>
      <c r="F736" s="1420"/>
      <c r="G736" s="1421"/>
      <c r="H736" s="771" t="s">
        <v>46</v>
      </c>
      <c r="I736" s="1422"/>
      <c r="J736" s="1422">
        <f>J751</f>
        <v>0</v>
      </c>
      <c r="K736" s="1423">
        <f>IF(I736&gt;0,J736*100/I736,0)</f>
        <v>0</v>
      </c>
      <c r="L736" s="1424"/>
      <c r="M736" s="1424"/>
      <c r="N736" s="1424"/>
      <c r="O736" s="1424"/>
      <c r="P736" s="1424"/>
      <c r="Q736" s="1297"/>
      <c r="R736" s="1297"/>
      <c r="S736" s="1297"/>
      <c r="T736" s="1297"/>
      <c r="U736" s="1297"/>
      <c r="V736" s="1297"/>
      <c r="W736" s="1297"/>
      <c r="X736" s="1297"/>
      <c r="Y736" s="1297"/>
      <c r="Z736" s="1297"/>
    </row>
    <row r="737" spans="1:26" ht="19.5" hidden="1">
      <c r="A737" s="1293"/>
      <c r="B737" s="1294"/>
      <c r="C737" s="1294" t="s">
        <v>16</v>
      </c>
      <c r="D737" s="1556" t="s">
        <v>17</v>
      </c>
      <c r="E737" s="1533"/>
      <c r="F737" s="1533"/>
      <c r="G737" s="1296"/>
      <c r="H737" s="639" t="s">
        <v>12</v>
      </c>
      <c r="I737" s="869"/>
      <c r="J737" s="869"/>
      <c r="K737" s="870"/>
      <c r="L737" s="1325">
        <f t="shared" ref="L737:N737" si="294">L738+L739</f>
        <v>0</v>
      </c>
      <c r="M737" s="1325">
        <f t="shared" si="294"/>
        <v>0</v>
      </c>
      <c r="N737" s="1325">
        <f t="shared" si="294"/>
        <v>0</v>
      </c>
      <c r="O737" s="1325">
        <f t="shared" ref="O737:O742" si="295">IF(L737&gt;0,N737*100/L737,0)</f>
        <v>0</v>
      </c>
      <c r="P737" s="1325">
        <f t="shared" ref="P737:P742" si="296">IF(M737&gt;0,N737*100/M737,0)</f>
        <v>0</v>
      </c>
      <c r="Q737" s="1297"/>
      <c r="R737" s="1297"/>
      <c r="S737" s="1297"/>
      <c r="T737" s="1297"/>
      <c r="U737" s="1297"/>
      <c r="V737" s="1297"/>
      <c r="W737" s="1297"/>
      <c r="X737" s="1297"/>
      <c r="Y737" s="1297"/>
      <c r="Z737" s="1297"/>
    </row>
    <row r="738" spans="1:26" ht="18.75" hidden="1">
      <c r="A738" s="1293"/>
      <c r="B738" s="1294"/>
      <c r="C738" s="1294"/>
      <c r="D738" s="1295"/>
      <c r="E738" s="1294" t="s">
        <v>184</v>
      </c>
      <c r="F738" s="1294"/>
      <c r="G738" s="1296"/>
      <c r="H738" s="165" t="s">
        <v>12</v>
      </c>
      <c r="I738" s="869"/>
      <c r="J738" s="869"/>
      <c r="K738" s="870"/>
      <c r="L738" s="870">
        <f t="shared" ref="L738:N739" si="297">L741+L748</f>
        <v>0</v>
      </c>
      <c r="M738" s="870">
        <f t="shared" si="297"/>
        <v>0</v>
      </c>
      <c r="N738" s="870">
        <f t="shared" si="297"/>
        <v>0</v>
      </c>
      <c r="O738" s="870">
        <f t="shared" si="295"/>
        <v>0</v>
      </c>
      <c r="P738" s="870">
        <f t="shared" si="296"/>
        <v>0</v>
      </c>
      <c r="Q738" s="1297"/>
      <c r="R738" s="1297"/>
      <c r="S738" s="1297"/>
      <c r="T738" s="1297"/>
      <c r="U738" s="1297"/>
      <c r="V738" s="1297"/>
      <c r="W738" s="1297"/>
      <c r="X738" s="1297"/>
      <c r="Y738" s="1297"/>
      <c r="Z738" s="1297"/>
    </row>
    <row r="739" spans="1:26" ht="18.75" hidden="1">
      <c r="A739" s="1293"/>
      <c r="B739" s="1298"/>
      <c r="C739" s="1294"/>
      <c r="D739" s="1295"/>
      <c r="E739" s="1294" t="s">
        <v>185</v>
      </c>
      <c r="F739" s="1294"/>
      <c r="G739" s="1296"/>
      <c r="H739" s="165" t="s">
        <v>12</v>
      </c>
      <c r="I739" s="869"/>
      <c r="J739" s="869"/>
      <c r="K739" s="870"/>
      <c r="L739" s="870">
        <f t="shared" si="297"/>
        <v>0</v>
      </c>
      <c r="M739" s="870">
        <f t="shared" si="297"/>
        <v>0</v>
      </c>
      <c r="N739" s="870">
        <f t="shared" si="297"/>
        <v>0</v>
      </c>
      <c r="O739" s="870">
        <f t="shared" si="295"/>
        <v>0</v>
      </c>
      <c r="P739" s="870">
        <f t="shared" si="296"/>
        <v>0</v>
      </c>
      <c r="Q739" s="1297"/>
      <c r="R739" s="1297"/>
      <c r="S739" s="1297"/>
      <c r="T739" s="1297"/>
      <c r="U739" s="1297"/>
      <c r="V739" s="1297"/>
      <c r="W739" s="1297"/>
      <c r="X739" s="1297"/>
      <c r="Y739" s="1297"/>
      <c r="Z739" s="1297"/>
    </row>
    <row r="740" spans="1:26" ht="19.5" hidden="1">
      <c r="A740" s="1293"/>
      <c r="B740" s="1298"/>
      <c r="C740" s="1294"/>
      <c r="D740" s="1425" t="s">
        <v>20</v>
      </c>
      <c r="E740" s="1294"/>
      <c r="F740" s="1294"/>
      <c r="G740" s="1296"/>
      <c r="H740" s="639" t="s">
        <v>12</v>
      </c>
      <c r="I740" s="980"/>
      <c r="J740" s="980"/>
      <c r="K740" s="981"/>
      <c r="L740" s="1325">
        <f t="shared" ref="L740:N740" si="298">L741+L742</f>
        <v>0</v>
      </c>
      <c r="M740" s="1325">
        <f t="shared" si="298"/>
        <v>0</v>
      </c>
      <c r="N740" s="1325">
        <f t="shared" si="298"/>
        <v>0</v>
      </c>
      <c r="O740" s="1325">
        <f t="shared" si="295"/>
        <v>0</v>
      </c>
      <c r="P740" s="1325">
        <f t="shared" si="296"/>
        <v>0</v>
      </c>
      <c r="Q740" s="1297"/>
      <c r="R740" s="1297"/>
      <c r="S740" s="1297"/>
      <c r="T740" s="1297"/>
      <c r="U740" s="1297"/>
      <c r="V740" s="1297"/>
      <c r="W740" s="1297"/>
      <c r="X740" s="1297"/>
      <c r="Y740" s="1297"/>
      <c r="Z740" s="1297"/>
    </row>
    <row r="741" spans="1:26" ht="18.75" hidden="1">
      <c r="A741" s="1293"/>
      <c r="B741" s="1298"/>
      <c r="C741" s="1294"/>
      <c r="D741" s="1295"/>
      <c r="E741" s="1294" t="s">
        <v>184</v>
      </c>
      <c r="F741" s="1294"/>
      <c r="G741" s="1296"/>
      <c r="H741" s="165" t="s">
        <v>12</v>
      </c>
      <c r="I741" s="869"/>
      <c r="J741" s="869"/>
      <c r="K741" s="870"/>
      <c r="L741" s="870">
        <v>0</v>
      </c>
      <c r="M741" s="870">
        <v>0</v>
      </c>
      <c r="N741" s="870">
        <v>0</v>
      </c>
      <c r="O741" s="870">
        <f t="shared" si="295"/>
        <v>0</v>
      </c>
      <c r="P741" s="870">
        <f t="shared" si="296"/>
        <v>0</v>
      </c>
      <c r="Q741" s="1297"/>
      <c r="R741" s="1297"/>
      <c r="S741" s="1297"/>
      <c r="T741" s="1297"/>
      <c r="U741" s="1297"/>
      <c r="V741" s="1297"/>
      <c r="W741" s="1297"/>
      <c r="X741" s="1297"/>
      <c r="Y741" s="1297"/>
      <c r="Z741" s="1297"/>
    </row>
    <row r="742" spans="1:26" ht="18.75" hidden="1">
      <c r="A742" s="1293"/>
      <c r="B742" s="1298"/>
      <c r="C742" s="1294"/>
      <c r="D742" s="1295"/>
      <c r="E742" s="1294" t="s">
        <v>185</v>
      </c>
      <c r="F742" s="1294"/>
      <c r="G742" s="1296"/>
      <c r="H742" s="165" t="s">
        <v>12</v>
      </c>
      <c r="I742" s="869"/>
      <c r="J742" s="869"/>
      <c r="K742" s="870"/>
      <c r="L742" s="870">
        <v>0</v>
      </c>
      <c r="M742" s="870">
        <v>0</v>
      </c>
      <c r="N742" s="870">
        <f>N743+N744+N745+N746</f>
        <v>0</v>
      </c>
      <c r="O742" s="870">
        <f t="shared" si="295"/>
        <v>0</v>
      </c>
      <c r="P742" s="870">
        <f t="shared" si="296"/>
        <v>0</v>
      </c>
      <c r="Q742" s="1297"/>
      <c r="R742" s="1297"/>
      <c r="S742" s="1297"/>
      <c r="T742" s="1297"/>
      <c r="U742" s="1297"/>
      <c r="V742" s="1297"/>
      <c r="W742" s="1297"/>
      <c r="X742" s="1297"/>
      <c r="Y742" s="1297"/>
      <c r="Z742" s="1297"/>
    </row>
    <row r="743" spans="1:26" ht="18.75" hidden="1">
      <c r="A743" s="1327"/>
      <c r="B743" s="1298"/>
      <c r="C743" s="1294"/>
      <c r="D743" s="1294"/>
      <c r="E743" s="1294"/>
      <c r="F743" s="1294" t="s">
        <v>186</v>
      </c>
      <c r="G743" s="1296"/>
      <c r="H743" s="165" t="s">
        <v>12</v>
      </c>
      <c r="I743" s="869"/>
      <c r="J743" s="869"/>
      <c r="K743" s="870"/>
      <c r="L743" s="870"/>
      <c r="M743" s="870"/>
      <c r="N743" s="870"/>
      <c r="O743" s="870"/>
      <c r="P743" s="870"/>
      <c r="Q743" s="1297"/>
      <c r="R743" s="1297"/>
      <c r="S743" s="1297"/>
      <c r="T743" s="1297"/>
      <c r="U743" s="1297"/>
      <c r="V743" s="1297"/>
      <c r="W743" s="1297"/>
      <c r="X743" s="1297"/>
      <c r="Y743" s="1297"/>
      <c r="Z743" s="1297"/>
    </row>
    <row r="744" spans="1:26" ht="18.75" hidden="1">
      <c r="A744" s="1327"/>
      <c r="B744" s="1298"/>
      <c r="C744" s="1294"/>
      <c r="D744" s="1294"/>
      <c r="E744" s="1294"/>
      <c r="F744" s="1294" t="s">
        <v>187</v>
      </c>
      <c r="G744" s="1296"/>
      <c r="H744" s="165" t="s">
        <v>12</v>
      </c>
      <c r="I744" s="869"/>
      <c r="J744" s="869"/>
      <c r="K744" s="870"/>
      <c r="L744" s="870"/>
      <c r="M744" s="870"/>
      <c r="N744" s="870"/>
      <c r="O744" s="870"/>
      <c r="P744" s="870"/>
      <c r="Q744" s="1297"/>
      <c r="R744" s="1297"/>
      <c r="S744" s="1297"/>
      <c r="T744" s="1297"/>
      <c r="U744" s="1297"/>
      <c r="V744" s="1297"/>
      <c r="W744" s="1297"/>
      <c r="X744" s="1297"/>
      <c r="Y744" s="1297"/>
      <c r="Z744" s="1297"/>
    </row>
    <row r="745" spans="1:26" ht="18.75" hidden="1">
      <c r="A745" s="1327"/>
      <c r="B745" s="1298"/>
      <c r="C745" s="1294"/>
      <c r="D745" s="1294"/>
      <c r="E745" s="1294"/>
      <c r="F745" s="1294" t="s">
        <v>188</v>
      </c>
      <c r="G745" s="1296"/>
      <c r="H745" s="165" t="s">
        <v>12</v>
      </c>
      <c r="I745" s="869"/>
      <c r="J745" s="869"/>
      <c r="K745" s="870"/>
      <c r="L745" s="870"/>
      <c r="M745" s="870"/>
      <c r="N745" s="870"/>
      <c r="O745" s="870"/>
      <c r="P745" s="870"/>
      <c r="Q745" s="1297"/>
      <c r="R745" s="1297"/>
      <c r="S745" s="1297"/>
      <c r="T745" s="1297"/>
      <c r="U745" s="1297"/>
      <c r="V745" s="1297"/>
      <c r="W745" s="1297"/>
      <c r="X745" s="1297"/>
      <c r="Y745" s="1297"/>
      <c r="Z745" s="1297"/>
    </row>
    <row r="746" spans="1:26" ht="18.75" hidden="1">
      <c r="A746" s="1327"/>
      <c r="B746" s="1298"/>
      <c r="C746" s="1294"/>
      <c r="D746" s="1294"/>
      <c r="E746" s="1294"/>
      <c r="F746" s="1294" t="s">
        <v>189</v>
      </c>
      <c r="G746" s="1296"/>
      <c r="H746" s="165" t="s">
        <v>12</v>
      </c>
      <c r="I746" s="869"/>
      <c r="J746" s="869"/>
      <c r="K746" s="870"/>
      <c r="L746" s="870"/>
      <c r="M746" s="870"/>
      <c r="N746" s="870"/>
      <c r="O746" s="870"/>
      <c r="P746" s="870"/>
      <c r="Q746" s="1297"/>
      <c r="R746" s="1297"/>
      <c r="S746" s="1297"/>
      <c r="T746" s="1297"/>
      <c r="U746" s="1297"/>
      <c r="V746" s="1297"/>
      <c r="W746" s="1297"/>
      <c r="X746" s="1297"/>
      <c r="Y746" s="1297"/>
      <c r="Z746" s="1297"/>
    </row>
    <row r="747" spans="1:26" ht="19.5" hidden="1">
      <c r="A747" s="1293"/>
      <c r="B747" s="1298"/>
      <c r="C747" s="1294"/>
      <c r="D747" s="1425" t="s">
        <v>21</v>
      </c>
      <c r="E747" s="1294"/>
      <c r="F747" s="1294"/>
      <c r="G747" s="1296"/>
      <c r="H747" s="776" t="s">
        <v>12</v>
      </c>
      <c r="I747" s="980"/>
      <c r="J747" s="980"/>
      <c r="K747" s="981"/>
      <c r="L747" s="1325">
        <f t="shared" ref="L747:N747" si="299">L748+L749</f>
        <v>0</v>
      </c>
      <c r="M747" s="1325">
        <f t="shared" si="299"/>
        <v>0</v>
      </c>
      <c r="N747" s="1325">
        <f t="shared" si="299"/>
        <v>0</v>
      </c>
      <c r="O747" s="1325">
        <f t="shared" ref="O747:O749" si="300">IF(L747&gt;0,N747*100/L747,0)</f>
        <v>0</v>
      </c>
      <c r="P747" s="1325">
        <f t="shared" ref="P747:P749" si="301">IF(M747&gt;0,N747*100/M747,0)</f>
        <v>0</v>
      </c>
      <c r="Q747" s="1297"/>
      <c r="R747" s="1297"/>
      <c r="S747" s="1297"/>
      <c r="T747" s="1297"/>
      <c r="U747" s="1297"/>
      <c r="V747" s="1297"/>
      <c r="W747" s="1297"/>
      <c r="X747" s="1297"/>
      <c r="Y747" s="1297"/>
      <c r="Z747" s="1297"/>
    </row>
    <row r="748" spans="1:26" ht="18.75" hidden="1">
      <c r="A748" s="1293"/>
      <c r="B748" s="1298"/>
      <c r="C748" s="1294"/>
      <c r="D748" s="1294"/>
      <c r="E748" s="1294" t="s">
        <v>18</v>
      </c>
      <c r="F748" s="1294"/>
      <c r="G748" s="1296"/>
      <c r="H748" s="165" t="s">
        <v>12</v>
      </c>
      <c r="I748" s="980"/>
      <c r="J748" s="980"/>
      <c r="K748" s="981"/>
      <c r="L748" s="870">
        <v>0</v>
      </c>
      <c r="M748" s="870">
        <v>0</v>
      </c>
      <c r="N748" s="870">
        <v>0</v>
      </c>
      <c r="O748" s="870">
        <f t="shared" si="300"/>
        <v>0</v>
      </c>
      <c r="P748" s="870">
        <f t="shared" si="301"/>
        <v>0</v>
      </c>
      <c r="Q748" s="1297"/>
      <c r="R748" s="1297"/>
      <c r="S748" s="1297"/>
      <c r="T748" s="1297"/>
      <c r="U748" s="1297"/>
      <c r="V748" s="1297"/>
      <c r="W748" s="1297"/>
      <c r="X748" s="1297"/>
      <c r="Y748" s="1297"/>
      <c r="Z748" s="1297"/>
    </row>
    <row r="749" spans="1:26" ht="18.75" hidden="1">
      <c r="A749" s="1293"/>
      <c r="B749" s="1298"/>
      <c r="C749" s="1294"/>
      <c r="D749" s="1294"/>
      <c r="E749" s="1294" t="s">
        <v>19</v>
      </c>
      <c r="F749" s="1294"/>
      <c r="G749" s="1296"/>
      <c r="H749" s="169" t="s">
        <v>12</v>
      </c>
      <c r="I749" s="980"/>
      <c r="J749" s="980"/>
      <c r="K749" s="981"/>
      <c r="L749" s="870">
        <v>0</v>
      </c>
      <c r="M749" s="870">
        <v>0</v>
      </c>
      <c r="N749" s="870">
        <v>0</v>
      </c>
      <c r="O749" s="870">
        <f t="shared" si="300"/>
        <v>0</v>
      </c>
      <c r="P749" s="870">
        <f t="shared" si="301"/>
        <v>0</v>
      </c>
      <c r="Q749" s="1297"/>
      <c r="R749" s="1297"/>
      <c r="S749" s="1297"/>
      <c r="T749" s="1297"/>
      <c r="U749" s="1297"/>
      <c r="V749" s="1297"/>
      <c r="W749" s="1297"/>
      <c r="X749" s="1297"/>
      <c r="Y749" s="1297"/>
      <c r="Z749" s="1297"/>
    </row>
    <row r="750" spans="1:26" ht="19.5" hidden="1">
      <c r="A750" s="1306"/>
      <c r="B750" s="1307"/>
      <c r="C750" s="1294" t="s">
        <v>16</v>
      </c>
      <c r="D750" s="1426" t="s">
        <v>38</v>
      </c>
      <c r="E750" s="1329"/>
      <c r="F750" s="1329"/>
      <c r="G750" s="1330"/>
      <c r="H750" s="1092"/>
      <c r="I750" s="980"/>
      <c r="J750" s="980"/>
      <c r="K750" s="981"/>
      <c r="L750" s="981"/>
      <c r="M750" s="981"/>
      <c r="N750" s="981"/>
      <c r="O750" s="981"/>
      <c r="P750" s="981"/>
      <c r="Q750" s="1297"/>
      <c r="R750" s="1297"/>
      <c r="S750" s="1297"/>
      <c r="T750" s="1297"/>
      <c r="U750" s="1297"/>
      <c r="V750" s="1297"/>
      <c r="W750" s="1297"/>
      <c r="X750" s="1297"/>
      <c r="Y750" s="1297"/>
      <c r="Z750" s="1297"/>
    </row>
    <row r="751" spans="1:26" ht="18.75" hidden="1">
      <c r="A751" s="1327"/>
      <c r="B751" s="1298"/>
      <c r="C751" s="1294"/>
      <c r="D751" s="1294"/>
      <c r="E751" s="1294" t="s">
        <v>313</v>
      </c>
      <c r="F751" s="1294"/>
      <c r="G751" s="1296"/>
      <c r="H751" s="165" t="s">
        <v>46</v>
      </c>
      <c r="I751" s="869"/>
      <c r="J751" s="869"/>
      <c r="K751" s="870"/>
      <c r="L751" s="870"/>
      <c r="M751" s="870"/>
      <c r="N751" s="870"/>
      <c r="O751" s="870"/>
      <c r="P751" s="870"/>
      <c r="Q751" s="1297"/>
      <c r="R751" s="1297"/>
      <c r="S751" s="1297"/>
      <c r="T751" s="1297"/>
      <c r="U751" s="1297"/>
      <c r="V751" s="1297"/>
      <c r="W751" s="1297"/>
      <c r="X751" s="1297"/>
      <c r="Y751" s="1297"/>
      <c r="Z751" s="1297"/>
    </row>
    <row r="752" spans="1:26" ht="18.75" hidden="1">
      <c r="A752" s="1327"/>
      <c r="B752" s="1298"/>
      <c r="C752" s="1294"/>
      <c r="D752" s="1294"/>
      <c r="E752" s="1294"/>
      <c r="F752" s="1294"/>
      <c r="G752" s="1296"/>
      <c r="H752" s="165" t="s">
        <v>314</v>
      </c>
      <c r="I752" s="869"/>
      <c r="J752" s="869"/>
      <c r="K752" s="870"/>
      <c r="L752" s="870"/>
      <c r="M752" s="870"/>
      <c r="N752" s="870"/>
      <c r="O752" s="870"/>
      <c r="P752" s="870"/>
      <c r="Q752" s="1297"/>
      <c r="R752" s="1297"/>
      <c r="S752" s="1297"/>
      <c r="T752" s="1297"/>
      <c r="U752" s="1297"/>
      <c r="V752" s="1297"/>
      <c r="W752" s="1297"/>
      <c r="X752" s="1297"/>
      <c r="Y752" s="1297"/>
      <c r="Z752" s="1297"/>
    </row>
    <row r="753" spans="1:26" ht="19.5" hidden="1">
      <c r="A753" s="778">
        <v>10</v>
      </c>
      <c r="B753" s="1427" t="s">
        <v>315</v>
      </c>
      <c r="C753" s="1428"/>
      <c r="D753" s="1428"/>
      <c r="E753" s="1428"/>
      <c r="F753" s="1428"/>
      <c r="G753" s="1429"/>
      <c r="H753" s="782" t="s">
        <v>46</v>
      </c>
      <c r="I753" s="1430"/>
      <c r="J753" s="1430">
        <f>J768</f>
        <v>0</v>
      </c>
      <c r="K753" s="1431">
        <f>IF(I753&gt;0,J753*100/I753,0)</f>
        <v>0</v>
      </c>
      <c r="L753" s="1432"/>
      <c r="M753" s="1432"/>
      <c r="N753" s="1432"/>
      <c r="O753" s="1432"/>
      <c r="P753" s="1432"/>
      <c r="Q753" s="1297"/>
      <c r="R753" s="1297"/>
      <c r="S753" s="1297"/>
      <c r="T753" s="1297"/>
      <c r="U753" s="1297"/>
      <c r="V753" s="1297"/>
      <c r="W753" s="1297"/>
      <c r="X753" s="1297"/>
      <c r="Y753" s="1297"/>
      <c r="Z753" s="1297"/>
    </row>
    <row r="754" spans="1:26" ht="19.5" hidden="1">
      <c r="A754" s="1293"/>
      <c r="B754" s="1294"/>
      <c r="C754" s="1294" t="s">
        <v>16</v>
      </c>
      <c r="D754" s="1556" t="s">
        <v>17</v>
      </c>
      <c r="E754" s="1533"/>
      <c r="F754" s="1533"/>
      <c r="G754" s="1296"/>
      <c r="H754" s="639" t="s">
        <v>12</v>
      </c>
      <c r="I754" s="869"/>
      <c r="J754" s="869"/>
      <c r="K754" s="870"/>
      <c r="L754" s="1325">
        <f t="shared" ref="L754:N754" si="302">L755+L756</f>
        <v>0</v>
      </c>
      <c r="M754" s="1325">
        <f t="shared" si="302"/>
        <v>0</v>
      </c>
      <c r="N754" s="1325">
        <f t="shared" si="302"/>
        <v>0</v>
      </c>
      <c r="O754" s="1325">
        <f t="shared" ref="O754:O759" si="303">IF(L754&gt;0,N754*100/L754,0)</f>
        <v>0</v>
      </c>
      <c r="P754" s="1325">
        <f t="shared" ref="P754:P759" si="304">IF(M754&gt;0,N754*100/M754,0)</f>
        <v>0</v>
      </c>
      <c r="Q754" s="1297"/>
      <c r="R754" s="1297"/>
      <c r="S754" s="1297"/>
      <c r="T754" s="1297"/>
      <c r="U754" s="1297"/>
      <c r="V754" s="1297"/>
      <c r="W754" s="1297"/>
      <c r="X754" s="1297"/>
      <c r="Y754" s="1297"/>
      <c r="Z754" s="1297"/>
    </row>
    <row r="755" spans="1:26" ht="18.75" hidden="1">
      <c r="A755" s="1293"/>
      <c r="B755" s="1294"/>
      <c r="C755" s="1294"/>
      <c r="D755" s="1295"/>
      <c r="E755" s="1294" t="s">
        <v>184</v>
      </c>
      <c r="F755" s="1294"/>
      <c r="G755" s="1296"/>
      <c r="H755" s="165" t="s">
        <v>12</v>
      </c>
      <c r="I755" s="869"/>
      <c r="J755" s="869"/>
      <c r="K755" s="870"/>
      <c r="L755" s="870">
        <f t="shared" ref="L755:N756" si="305">L758+L765</f>
        <v>0</v>
      </c>
      <c r="M755" s="870">
        <f t="shared" si="305"/>
        <v>0</v>
      </c>
      <c r="N755" s="870">
        <f t="shared" si="305"/>
        <v>0</v>
      </c>
      <c r="O755" s="870">
        <f t="shared" si="303"/>
        <v>0</v>
      </c>
      <c r="P755" s="870">
        <f t="shared" si="304"/>
        <v>0</v>
      </c>
      <c r="Q755" s="1297"/>
      <c r="R755" s="1297"/>
      <c r="S755" s="1297"/>
      <c r="T755" s="1297"/>
      <c r="U755" s="1297"/>
      <c r="V755" s="1297"/>
      <c r="W755" s="1297"/>
      <c r="X755" s="1297"/>
      <c r="Y755" s="1297"/>
      <c r="Z755" s="1297"/>
    </row>
    <row r="756" spans="1:26" ht="18.75" hidden="1">
      <c r="A756" s="1293"/>
      <c r="B756" s="1298"/>
      <c r="C756" s="1294"/>
      <c r="D756" s="1295"/>
      <c r="E756" s="1294" t="s">
        <v>185</v>
      </c>
      <c r="F756" s="1294"/>
      <c r="G756" s="1296"/>
      <c r="H756" s="165" t="s">
        <v>12</v>
      </c>
      <c r="I756" s="869"/>
      <c r="J756" s="869"/>
      <c r="K756" s="870"/>
      <c r="L756" s="870">
        <f t="shared" si="305"/>
        <v>0</v>
      </c>
      <c r="M756" s="870">
        <f t="shared" si="305"/>
        <v>0</v>
      </c>
      <c r="N756" s="870">
        <f t="shared" si="305"/>
        <v>0</v>
      </c>
      <c r="O756" s="870">
        <f t="shared" si="303"/>
        <v>0</v>
      </c>
      <c r="P756" s="870">
        <f t="shared" si="304"/>
        <v>0</v>
      </c>
      <c r="Q756" s="1297"/>
      <c r="R756" s="1297"/>
      <c r="S756" s="1297"/>
      <c r="T756" s="1297"/>
      <c r="U756" s="1297"/>
      <c r="V756" s="1297"/>
      <c r="W756" s="1297"/>
      <c r="X756" s="1297"/>
      <c r="Y756" s="1297"/>
      <c r="Z756" s="1297"/>
    </row>
    <row r="757" spans="1:26" ht="19.5" hidden="1">
      <c r="A757" s="1293"/>
      <c r="B757" s="1298"/>
      <c r="C757" s="1294"/>
      <c r="D757" s="1425" t="s">
        <v>20</v>
      </c>
      <c r="E757" s="1294"/>
      <c r="F757" s="1294"/>
      <c r="G757" s="1296"/>
      <c r="H757" s="639" t="s">
        <v>12</v>
      </c>
      <c r="I757" s="980"/>
      <c r="J757" s="980"/>
      <c r="K757" s="981"/>
      <c r="L757" s="1325">
        <f t="shared" ref="L757:N757" si="306">L758+L759</f>
        <v>0</v>
      </c>
      <c r="M757" s="1325">
        <f t="shared" si="306"/>
        <v>0</v>
      </c>
      <c r="N757" s="1325">
        <f t="shared" si="306"/>
        <v>0</v>
      </c>
      <c r="O757" s="1325">
        <f t="shared" si="303"/>
        <v>0</v>
      </c>
      <c r="P757" s="1325">
        <f t="shared" si="304"/>
        <v>0</v>
      </c>
      <c r="Q757" s="1297"/>
      <c r="R757" s="1297"/>
      <c r="S757" s="1297"/>
      <c r="T757" s="1297"/>
      <c r="U757" s="1297"/>
      <c r="V757" s="1297"/>
      <c r="W757" s="1297"/>
      <c r="X757" s="1297"/>
      <c r="Y757" s="1297"/>
      <c r="Z757" s="1297"/>
    </row>
    <row r="758" spans="1:26" ht="18.75" hidden="1">
      <c r="A758" s="1293"/>
      <c r="B758" s="1298"/>
      <c r="C758" s="1294"/>
      <c r="D758" s="1295"/>
      <c r="E758" s="1294" t="s">
        <v>184</v>
      </c>
      <c r="F758" s="1294"/>
      <c r="G758" s="1296"/>
      <c r="H758" s="165" t="s">
        <v>12</v>
      </c>
      <c r="I758" s="869"/>
      <c r="J758" s="869"/>
      <c r="K758" s="870"/>
      <c r="L758" s="870">
        <v>0</v>
      </c>
      <c r="M758" s="870">
        <v>0</v>
      </c>
      <c r="N758" s="870">
        <v>0</v>
      </c>
      <c r="O758" s="870">
        <f t="shared" si="303"/>
        <v>0</v>
      </c>
      <c r="P758" s="870">
        <f t="shared" si="304"/>
        <v>0</v>
      </c>
      <c r="Q758" s="1297"/>
      <c r="R758" s="1297"/>
      <c r="S758" s="1297"/>
      <c r="T758" s="1297"/>
      <c r="U758" s="1297"/>
      <c r="V758" s="1297"/>
      <c r="W758" s="1297"/>
      <c r="X758" s="1297"/>
      <c r="Y758" s="1297"/>
      <c r="Z758" s="1297"/>
    </row>
    <row r="759" spans="1:26" ht="18.75" hidden="1">
      <c r="A759" s="1293"/>
      <c r="B759" s="1298"/>
      <c r="C759" s="1294"/>
      <c r="D759" s="1295"/>
      <c r="E759" s="1294" t="s">
        <v>185</v>
      </c>
      <c r="F759" s="1294"/>
      <c r="G759" s="1296"/>
      <c r="H759" s="165" t="s">
        <v>12</v>
      </c>
      <c r="I759" s="869"/>
      <c r="J759" s="869"/>
      <c r="K759" s="870"/>
      <c r="L759" s="870">
        <v>0</v>
      </c>
      <c r="M759" s="870">
        <v>0</v>
      </c>
      <c r="N759" s="870">
        <f>N760+N761+N762+N763</f>
        <v>0</v>
      </c>
      <c r="O759" s="870">
        <f t="shared" si="303"/>
        <v>0</v>
      </c>
      <c r="P759" s="870">
        <f t="shared" si="304"/>
        <v>0</v>
      </c>
      <c r="Q759" s="1297"/>
      <c r="R759" s="1297"/>
      <c r="S759" s="1297"/>
      <c r="T759" s="1297"/>
      <c r="U759" s="1297"/>
      <c r="V759" s="1297"/>
      <c r="W759" s="1297"/>
      <c r="X759" s="1297"/>
      <c r="Y759" s="1297"/>
      <c r="Z759" s="1297"/>
    </row>
    <row r="760" spans="1:26" ht="18.75" hidden="1">
      <c r="A760" s="1327"/>
      <c r="B760" s="1298"/>
      <c r="C760" s="1294"/>
      <c r="D760" s="1294"/>
      <c r="E760" s="1294"/>
      <c r="F760" s="1294" t="s">
        <v>186</v>
      </c>
      <c r="G760" s="1296"/>
      <c r="H760" s="165" t="s">
        <v>12</v>
      </c>
      <c r="I760" s="869"/>
      <c r="J760" s="869"/>
      <c r="K760" s="870"/>
      <c r="L760" s="870"/>
      <c r="M760" s="870"/>
      <c r="N760" s="870"/>
      <c r="O760" s="870"/>
      <c r="P760" s="870"/>
      <c r="Q760" s="1297"/>
      <c r="R760" s="1297"/>
      <c r="S760" s="1297"/>
      <c r="T760" s="1297"/>
      <c r="U760" s="1297"/>
      <c r="V760" s="1297"/>
      <c r="W760" s="1297"/>
      <c r="X760" s="1297"/>
      <c r="Y760" s="1297"/>
      <c r="Z760" s="1297"/>
    </row>
    <row r="761" spans="1:26" ht="18.75" hidden="1">
      <c r="A761" s="1327"/>
      <c r="B761" s="1298"/>
      <c r="C761" s="1294"/>
      <c r="D761" s="1294"/>
      <c r="E761" s="1294"/>
      <c r="F761" s="1294" t="s">
        <v>187</v>
      </c>
      <c r="G761" s="1296"/>
      <c r="H761" s="165" t="s">
        <v>12</v>
      </c>
      <c r="I761" s="869"/>
      <c r="J761" s="869"/>
      <c r="K761" s="870"/>
      <c r="L761" s="870"/>
      <c r="M761" s="870"/>
      <c r="N761" s="870"/>
      <c r="O761" s="870"/>
      <c r="P761" s="870"/>
      <c r="Q761" s="1297"/>
      <c r="R761" s="1297"/>
      <c r="S761" s="1297"/>
      <c r="T761" s="1297"/>
      <c r="U761" s="1297"/>
      <c r="V761" s="1297"/>
      <c r="W761" s="1297"/>
      <c r="X761" s="1297"/>
      <c r="Y761" s="1297"/>
      <c r="Z761" s="1297"/>
    </row>
    <row r="762" spans="1:26" ht="18.75" hidden="1">
      <c r="A762" s="1327"/>
      <c r="B762" s="1298"/>
      <c r="C762" s="1294"/>
      <c r="D762" s="1294"/>
      <c r="E762" s="1294"/>
      <c r="F762" s="1294" t="s">
        <v>188</v>
      </c>
      <c r="G762" s="1296"/>
      <c r="H762" s="165" t="s">
        <v>12</v>
      </c>
      <c r="I762" s="869"/>
      <c r="J762" s="869"/>
      <c r="K762" s="870"/>
      <c r="L762" s="870"/>
      <c r="M762" s="870"/>
      <c r="N762" s="870"/>
      <c r="O762" s="870"/>
      <c r="P762" s="870"/>
      <c r="Q762" s="1297"/>
      <c r="R762" s="1297"/>
      <c r="S762" s="1297"/>
      <c r="T762" s="1297"/>
      <c r="U762" s="1297"/>
      <c r="V762" s="1297"/>
      <c r="W762" s="1297"/>
      <c r="X762" s="1297"/>
      <c r="Y762" s="1297"/>
      <c r="Z762" s="1297"/>
    </row>
    <row r="763" spans="1:26" ht="18.75" hidden="1">
      <c r="A763" s="1327"/>
      <c r="B763" s="1298"/>
      <c r="C763" s="1294"/>
      <c r="D763" s="1294"/>
      <c r="E763" s="1294"/>
      <c r="F763" s="1294" t="s">
        <v>189</v>
      </c>
      <c r="G763" s="1296"/>
      <c r="H763" s="165" t="s">
        <v>12</v>
      </c>
      <c r="I763" s="869"/>
      <c r="J763" s="869"/>
      <c r="K763" s="870"/>
      <c r="L763" s="870"/>
      <c r="M763" s="870"/>
      <c r="N763" s="870"/>
      <c r="O763" s="870"/>
      <c r="P763" s="870"/>
      <c r="Q763" s="1297"/>
      <c r="R763" s="1297"/>
      <c r="S763" s="1297"/>
      <c r="T763" s="1297"/>
      <c r="U763" s="1297"/>
      <c r="V763" s="1297"/>
      <c r="W763" s="1297"/>
      <c r="X763" s="1297"/>
      <c r="Y763" s="1297"/>
      <c r="Z763" s="1297"/>
    </row>
    <row r="764" spans="1:26" ht="19.5" hidden="1">
      <c r="A764" s="1293"/>
      <c r="B764" s="1298"/>
      <c r="C764" s="1294"/>
      <c r="D764" s="1425" t="s">
        <v>21</v>
      </c>
      <c r="E764" s="1294"/>
      <c r="F764" s="1294"/>
      <c r="G764" s="1296"/>
      <c r="H764" s="776" t="s">
        <v>12</v>
      </c>
      <c r="I764" s="980"/>
      <c r="J764" s="980"/>
      <c r="K764" s="981"/>
      <c r="L764" s="1325">
        <f t="shared" ref="L764:N764" si="307">L765+L766</f>
        <v>0</v>
      </c>
      <c r="M764" s="1325">
        <f t="shared" si="307"/>
        <v>0</v>
      </c>
      <c r="N764" s="1325">
        <f t="shared" si="307"/>
        <v>0</v>
      </c>
      <c r="O764" s="1325">
        <f t="shared" ref="O764:O766" si="308">IF(L764&gt;0,N764*100/L764,0)</f>
        <v>0</v>
      </c>
      <c r="P764" s="1325">
        <f t="shared" ref="P764:P766" si="309">IF(M764&gt;0,N764*100/M764,0)</f>
        <v>0</v>
      </c>
      <c r="Q764" s="1297"/>
      <c r="R764" s="1297"/>
      <c r="S764" s="1297"/>
      <c r="T764" s="1297"/>
      <c r="U764" s="1297"/>
      <c r="V764" s="1297"/>
      <c r="W764" s="1297"/>
      <c r="X764" s="1297"/>
      <c r="Y764" s="1297"/>
      <c r="Z764" s="1297"/>
    </row>
    <row r="765" spans="1:26" ht="18.75" hidden="1">
      <c r="A765" s="1293"/>
      <c r="B765" s="1298"/>
      <c r="C765" s="1294"/>
      <c r="D765" s="1294"/>
      <c r="E765" s="1294" t="s">
        <v>18</v>
      </c>
      <c r="F765" s="1294"/>
      <c r="G765" s="1296"/>
      <c r="H765" s="165" t="s">
        <v>12</v>
      </c>
      <c r="I765" s="980"/>
      <c r="J765" s="980"/>
      <c r="K765" s="981"/>
      <c r="L765" s="870">
        <v>0</v>
      </c>
      <c r="M765" s="870">
        <v>0</v>
      </c>
      <c r="N765" s="870">
        <v>0</v>
      </c>
      <c r="O765" s="870">
        <f t="shared" si="308"/>
        <v>0</v>
      </c>
      <c r="P765" s="870">
        <f t="shared" si="309"/>
        <v>0</v>
      </c>
      <c r="Q765" s="1297"/>
      <c r="R765" s="1297"/>
      <c r="S765" s="1297"/>
      <c r="T765" s="1297"/>
      <c r="U765" s="1297"/>
      <c r="V765" s="1297"/>
      <c r="W765" s="1297"/>
      <c r="X765" s="1297"/>
      <c r="Y765" s="1297"/>
      <c r="Z765" s="1297"/>
    </row>
    <row r="766" spans="1:26" ht="18.75" hidden="1">
      <c r="A766" s="1293"/>
      <c r="B766" s="1298"/>
      <c r="C766" s="1294"/>
      <c r="D766" s="1294"/>
      <c r="E766" s="1294" t="s">
        <v>19</v>
      </c>
      <c r="F766" s="1294"/>
      <c r="G766" s="1296"/>
      <c r="H766" s="169" t="s">
        <v>12</v>
      </c>
      <c r="I766" s="980"/>
      <c r="J766" s="980"/>
      <c r="K766" s="981"/>
      <c r="L766" s="870">
        <v>0</v>
      </c>
      <c r="M766" s="870">
        <v>0</v>
      </c>
      <c r="N766" s="870">
        <v>0</v>
      </c>
      <c r="O766" s="870">
        <f t="shared" si="308"/>
        <v>0</v>
      </c>
      <c r="P766" s="870">
        <f t="shared" si="309"/>
        <v>0</v>
      </c>
      <c r="Q766" s="1297"/>
      <c r="R766" s="1297"/>
      <c r="S766" s="1297"/>
      <c r="T766" s="1297"/>
      <c r="U766" s="1297"/>
      <c r="V766" s="1297"/>
      <c r="W766" s="1297"/>
      <c r="X766" s="1297"/>
      <c r="Y766" s="1297"/>
      <c r="Z766" s="1297"/>
    </row>
    <row r="767" spans="1:26" ht="19.5" hidden="1">
      <c r="A767" s="1306"/>
      <c r="B767" s="1307"/>
      <c r="C767" s="1294" t="s">
        <v>16</v>
      </c>
      <c r="D767" s="1426" t="s">
        <v>38</v>
      </c>
      <c r="E767" s="1329"/>
      <c r="F767" s="1329"/>
      <c r="G767" s="1330"/>
      <c r="H767" s="1092"/>
      <c r="I767" s="980"/>
      <c r="J767" s="980"/>
      <c r="K767" s="981"/>
      <c r="L767" s="981"/>
      <c r="M767" s="981"/>
      <c r="N767" s="981"/>
      <c r="O767" s="981"/>
      <c r="P767" s="981"/>
      <c r="Q767" s="1297"/>
      <c r="R767" s="1297"/>
      <c r="S767" s="1297"/>
      <c r="T767" s="1297"/>
      <c r="U767" s="1297"/>
      <c r="V767" s="1297"/>
      <c r="W767" s="1297"/>
      <c r="X767" s="1297"/>
      <c r="Y767" s="1297"/>
      <c r="Z767" s="1297"/>
    </row>
    <row r="768" spans="1:26" ht="18.75" hidden="1">
      <c r="A768" s="1327"/>
      <c r="B768" s="1298"/>
      <c r="C768" s="1294"/>
      <c r="D768" s="1294"/>
      <c r="E768" s="1294" t="s">
        <v>316</v>
      </c>
      <c r="F768" s="1294"/>
      <c r="G768" s="1296"/>
      <c r="H768" s="165" t="s">
        <v>46</v>
      </c>
      <c r="I768" s="869"/>
      <c r="J768" s="869"/>
      <c r="K768" s="870"/>
      <c r="L768" s="870"/>
      <c r="M768" s="870"/>
      <c r="N768" s="870"/>
      <c r="O768" s="870"/>
      <c r="P768" s="870"/>
      <c r="Q768" s="1297"/>
      <c r="R768" s="1297"/>
      <c r="S768" s="1297"/>
      <c r="T768" s="1297"/>
      <c r="U768" s="1297"/>
      <c r="V768" s="1297"/>
      <c r="W768" s="1297"/>
      <c r="X768" s="1297"/>
      <c r="Y768" s="1297"/>
      <c r="Z768" s="1297"/>
    </row>
    <row r="769" spans="1:26" ht="19.5" hidden="1">
      <c r="A769" s="786">
        <v>11</v>
      </c>
      <c r="B769" s="1433" t="s">
        <v>317</v>
      </c>
      <c r="C769" s="1434"/>
      <c r="D769" s="1434"/>
      <c r="E769" s="1434"/>
      <c r="F769" s="1434"/>
      <c r="G769" s="1435"/>
      <c r="H769" s="790" t="s">
        <v>46</v>
      </c>
      <c r="I769" s="1436"/>
      <c r="J769" s="1436">
        <f>J784</f>
        <v>0</v>
      </c>
      <c r="K769" s="1437">
        <f>IF(I769&gt;0,J769*100/I769,0)</f>
        <v>0</v>
      </c>
      <c r="L769" s="1438"/>
      <c r="M769" s="1438"/>
      <c r="N769" s="1438"/>
      <c r="O769" s="1438"/>
      <c r="P769" s="1438"/>
      <c r="Q769" s="1297"/>
      <c r="R769" s="1297"/>
      <c r="S769" s="1297"/>
      <c r="T769" s="1297"/>
      <c r="U769" s="1297"/>
      <c r="V769" s="1297"/>
      <c r="W769" s="1297"/>
      <c r="X769" s="1297"/>
      <c r="Y769" s="1297"/>
      <c r="Z769" s="1297"/>
    </row>
    <row r="770" spans="1:26" ht="19.5" hidden="1">
      <c r="A770" s="1293"/>
      <c r="B770" s="1294"/>
      <c r="C770" s="1294" t="s">
        <v>16</v>
      </c>
      <c r="D770" s="1556" t="s">
        <v>17</v>
      </c>
      <c r="E770" s="1533"/>
      <c r="F770" s="1533"/>
      <c r="G770" s="1296"/>
      <c r="H770" s="639" t="s">
        <v>12</v>
      </c>
      <c r="I770" s="869"/>
      <c r="J770" s="869"/>
      <c r="K770" s="870"/>
      <c r="L770" s="1325">
        <f t="shared" ref="L770:N770" si="310">L771+L772</f>
        <v>0</v>
      </c>
      <c r="M770" s="1325">
        <f t="shared" si="310"/>
        <v>0</v>
      </c>
      <c r="N770" s="1325">
        <f t="shared" si="310"/>
        <v>0</v>
      </c>
      <c r="O770" s="1325">
        <f t="shared" ref="O770:O775" si="311">IF(L770&gt;0,N770*100/L770,0)</f>
        <v>0</v>
      </c>
      <c r="P770" s="1325">
        <f t="shared" ref="P770:P775" si="312">IF(M770&gt;0,N770*100/M770,0)</f>
        <v>0</v>
      </c>
      <c r="Q770" s="1297"/>
      <c r="R770" s="1297"/>
      <c r="S770" s="1297"/>
      <c r="T770" s="1297"/>
      <c r="U770" s="1297"/>
      <c r="V770" s="1297"/>
      <c r="W770" s="1297"/>
      <c r="X770" s="1297"/>
      <c r="Y770" s="1297"/>
      <c r="Z770" s="1297"/>
    </row>
    <row r="771" spans="1:26" ht="18.75" hidden="1">
      <c r="A771" s="1293"/>
      <c r="B771" s="1294"/>
      <c r="C771" s="1294"/>
      <c r="D771" s="1295"/>
      <c r="E771" s="1294" t="s">
        <v>184</v>
      </c>
      <c r="F771" s="1294"/>
      <c r="G771" s="1296"/>
      <c r="H771" s="165" t="s">
        <v>12</v>
      </c>
      <c r="I771" s="869"/>
      <c r="J771" s="869"/>
      <c r="K771" s="870"/>
      <c r="L771" s="870">
        <f t="shared" ref="L771:N772" si="313">L774+L781</f>
        <v>0</v>
      </c>
      <c r="M771" s="870">
        <f t="shared" si="313"/>
        <v>0</v>
      </c>
      <c r="N771" s="870">
        <f t="shared" si="313"/>
        <v>0</v>
      </c>
      <c r="O771" s="870">
        <f t="shared" si="311"/>
        <v>0</v>
      </c>
      <c r="P771" s="870">
        <f t="shared" si="312"/>
        <v>0</v>
      </c>
      <c r="Q771" s="1297"/>
      <c r="R771" s="1297"/>
      <c r="S771" s="1297"/>
      <c r="T771" s="1297"/>
      <c r="U771" s="1297"/>
      <c r="V771" s="1297"/>
      <c r="W771" s="1297"/>
      <c r="X771" s="1297"/>
      <c r="Y771" s="1297"/>
      <c r="Z771" s="1297"/>
    </row>
    <row r="772" spans="1:26" ht="18.75" hidden="1">
      <c r="A772" s="1293"/>
      <c r="B772" s="1298"/>
      <c r="C772" s="1294"/>
      <c r="D772" s="1295"/>
      <c r="E772" s="1294" t="s">
        <v>185</v>
      </c>
      <c r="F772" s="1294"/>
      <c r="G772" s="1296"/>
      <c r="H772" s="165" t="s">
        <v>12</v>
      </c>
      <c r="I772" s="869"/>
      <c r="J772" s="869"/>
      <c r="K772" s="870"/>
      <c r="L772" s="870">
        <f t="shared" si="313"/>
        <v>0</v>
      </c>
      <c r="M772" s="870">
        <f t="shared" si="313"/>
        <v>0</v>
      </c>
      <c r="N772" s="870">
        <f t="shared" si="313"/>
        <v>0</v>
      </c>
      <c r="O772" s="870">
        <f t="shared" si="311"/>
        <v>0</v>
      </c>
      <c r="P772" s="870">
        <f t="shared" si="312"/>
        <v>0</v>
      </c>
      <c r="Q772" s="1297"/>
      <c r="R772" s="1297"/>
      <c r="S772" s="1297"/>
      <c r="T772" s="1297"/>
      <c r="U772" s="1297"/>
      <c r="V772" s="1297"/>
      <c r="W772" s="1297"/>
      <c r="X772" s="1297"/>
      <c r="Y772" s="1297"/>
      <c r="Z772" s="1297"/>
    </row>
    <row r="773" spans="1:26" ht="19.5" hidden="1">
      <c r="A773" s="1293"/>
      <c r="B773" s="1298"/>
      <c r="C773" s="1294"/>
      <c r="D773" s="1425" t="s">
        <v>20</v>
      </c>
      <c r="E773" s="1294"/>
      <c r="F773" s="1294"/>
      <c r="G773" s="1296"/>
      <c r="H773" s="639" t="s">
        <v>12</v>
      </c>
      <c r="I773" s="980"/>
      <c r="J773" s="980"/>
      <c r="K773" s="981"/>
      <c r="L773" s="1325">
        <f t="shared" ref="L773:N773" si="314">L774+L775</f>
        <v>0</v>
      </c>
      <c r="M773" s="1325">
        <f t="shared" si="314"/>
        <v>0</v>
      </c>
      <c r="N773" s="1325">
        <f t="shared" si="314"/>
        <v>0</v>
      </c>
      <c r="O773" s="1325">
        <f t="shared" si="311"/>
        <v>0</v>
      </c>
      <c r="P773" s="1325">
        <f t="shared" si="312"/>
        <v>0</v>
      </c>
      <c r="Q773" s="1297"/>
      <c r="R773" s="1297"/>
      <c r="S773" s="1297"/>
      <c r="T773" s="1297"/>
      <c r="U773" s="1297"/>
      <c r="V773" s="1297"/>
      <c r="W773" s="1297"/>
      <c r="X773" s="1297"/>
      <c r="Y773" s="1297"/>
      <c r="Z773" s="1297"/>
    </row>
    <row r="774" spans="1:26" ht="18.75" hidden="1">
      <c r="A774" s="1293"/>
      <c r="B774" s="1298"/>
      <c r="C774" s="1294"/>
      <c r="D774" s="1295"/>
      <c r="E774" s="1294" t="s">
        <v>184</v>
      </c>
      <c r="F774" s="1294"/>
      <c r="G774" s="1296"/>
      <c r="H774" s="165" t="s">
        <v>12</v>
      </c>
      <c r="I774" s="869"/>
      <c r="J774" s="869"/>
      <c r="K774" s="870"/>
      <c r="L774" s="870">
        <v>0</v>
      </c>
      <c r="M774" s="870">
        <v>0</v>
      </c>
      <c r="N774" s="870">
        <v>0</v>
      </c>
      <c r="O774" s="870">
        <f t="shared" si="311"/>
        <v>0</v>
      </c>
      <c r="P774" s="870">
        <f t="shared" si="312"/>
        <v>0</v>
      </c>
      <c r="Q774" s="1297"/>
      <c r="R774" s="1297"/>
      <c r="S774" s="1297"/>
      <c r="T774" s="1297"/>
      <c r="U774" s="1297"/>
      <c r="V774" s="1297"/>
      <c r="W774" s="1297"/>
      <c r="X774" s="1297"/>
      <c r="Y774" s="1297"/>
      <c r="Z774" s="1297"/>
    </row>
    <row r="775" spans="1:26" ht="18.75" hidden="1">
      <c r="A775" s="1293"/>
      <c r="B775" s="1298"/>
      <c r="C775" s="1294"/>
      <c r="D775" s="1295"/>
      <c r="E775" s="1294" t="s">
        <v>185</v>
      </c>
      <c r="F775" s="1294"/>
      <c r="G775" s="1296"/>
      <c r="H775" s="165" t="s">
        <v>12</v>
      </c>
      <c r="I775" s="869"/>
      <c r="J775" s="869"/>
      <c r="K775" s="870"/>
      <c r="L775" s="870">
        <v>0</v>
      </c>
      <c r="M775" s="870">
        <v>0</v>
      </c>
      <c r="N775" s="870">
        <f>N776+N777+N778+N779</f>
        <v>0</v>
      </c>
      <c r="O775" s="870">
        <f t="shared" si="311"/>
        <v>0</v>
      </c>
      <c r="P775" s="870">
        <f t="shared" si="312"/>
        <v>0</v>
      </c>
      <c r="Q775" s="1297"/>
      <c r="R775" s="1297"/>
      <c r="S775" s="1297"/>
      <c r="T775" s="1297"/>
      <c r="U775" s="1297"/>
      <c r="V775" s="1297"/>
      <c r="W775" s="1297"/>
      <c r="X775" s="1297"/>
      <c r="Y775" s="1297"/>
      <c r="Z775" s="1297"/>
    </row>
    <row r="776" spans="1:26" ht="18.75" hidden="1">
      <c r="A776" s="1327"/>
      <c r="B776" s="1298"/>
      <c r="C776" s="1294"/>
      <c r="D776" s="1294"/>
      <c r="E776" s="1294"/>
      <c r="F776" s="1294" t="s">
        <v>186</v>
      </c>
      <c r="G776" s="1296"/>
      <c r="H776" s="165" t="s">
        <v>12</v>
      </c>
      <c r="I776" s="869"/>
      <c r="J776" s="869"/>
      <c r="K776" s="870"/>
      <c r="L776" s="870"/>
      <c r="M776" s="870"/>
      <c r="N776" s="870"/>
      <c r="O776" s="870"/>
      <c r="P776" s="870"/>
      <c r="Q776" s="1297"/>
      <c r="R776" s="1297"/>
      <c r="S776" s="1297"/>
      <c r="T776" s="1297"/>
      <c r="U776" s="1297"/>
      <c r="V776" s="1297"/>
      <c r="W776" s="1297"/>
      <c r="X776" s="1297"/>
      <c r="Y776" s="1297"/>
      <c r="Z776" s="1297"/>
    </row>
    <row r="777" spans="1:26" ht="18.75" hidden="1">
      <c r="A777" s="1327"/>
      <c r="B777" s="1298"/>
      <c r="C777" s="1294"/>
      <c r="D777" s="1294"/>
      <c r="E777" s="1294"/>
      <c r="F777" s="1294" t="s">
        <v>187</v>
      </c>
      <c r="G777" s="1296"/>
      <c r="H777" s="165" t="s">
        <v>12</v>
      </c>
      <c r="I777" s="869"/>
      <c r="J777" s="869"/>
      <c r="K777" s="870"/>
      <c r="L777" s="870"/>
      <c r="M777" s="870"/>
      <c r="N777" s="870"/>
      <c r="O777" s="870"/>
      <c r="P777" s="870"/>
      <c r="Q777" s="1297"/>
      <c r="R777" s="1297"/>
      <c r="S777" s="1297"/>
      <c r="T777" s="1297"/>
      <c r="U777" s="1297"/>
      <c r="V777" s="1297"/>
      <c r="W777" s="1297"/>
      <c r="X777" s="1297"/>
      <c r="Y777" s="1297"/>
      <c r="Z777" s="1297"/>
    </row>
    <row r="778" spans="1:26" ht="18.75" hidden="1">
      <c r="A778" s="1327"/>
      <c r="B778" s="1298"/>
      <c r="C778" s="1294"/>
      <c r="D778" s="1294"/>
      <c r="E778" s="1294"/>
      <c r="F778" s="1294" t="s">
        <v>188</v>
      </c>
      <c r="G778" s="1296"/>
      <c r="H778" s="165" t="s">
        <v>12</v>
      </c>
      <c r="I778" s="869"/>
      <c r="J778" s="869"/>
      <c r="K778" s="870"/>
      <c r="L778" s="870"/>
      <c r="M778" s="870"/>
      <c r="N778" s="870"/>
      <c r="O778" s="870"/>
      <c r="P778" s="870"/>
      <c r="Q778" s="1297"/>
      <c r="R778" s="1297"/>
      <c r="S778" s="1297"/>
      <c r="T778" s="1297"/>
      <c r="U778" s="1297"/>
      <c r="V778" s="1297"/>
      <c r="W778" s="1297"/>
      <c r="X778" s="1297"/>
      <c r="Y778" s="1297"/>
      <c r="Z778" s="1297"/>
    </row>
    <row r="779" spans="1:26" ht="18.75" hidden="1">
      <c r="A779" s="1327"/>
      <c r="B779" s="1298"/>
      <c r="C779" s="1294"/>
      <c r="D779" s="1294"/>
      <c r="E779" s="1294"/>
      <c r="F779" s="1294" t="s">
        <v>189</v>
      </c>
      <c r="G779" s="1296"/>
      <c r="H779" s="165" t="s">
        <v>12</v>
      </c>
      <c r="I779" s="869"/>
      <c r="J779" s="869"/>
      <c r="K779" s="870"/>
      <c r="L779" s="870"/>
      <c r="M779" s="870"/>
      <c r="N779" s="870"/>
      <c r="O779" s="870"/>
      <c r="P779" s="870"/>
      <c r="Q779" s="1297"/>
      <c r="R779" s="1297"/>
      <c r="S779" s="1297"/>
      <c r="T779" s="1297"/>
      <c r="U779" s="1297"/>
      <c r="V779" s="1297"/>
      <c r="W779" s="1297"/>
      <c r="X779" s="1297"/>
      <c r="Y779" s="1297"/>
      <c r="Z779" s="1297"/>
    </row>
    <row r="780" spans="1:26" ht="19.5" hidden="1">
      <c r="A780" s="1293"/>
      <c r="B780" s="1298"/>
      <c r="C780" s="1294"/>
      <c r="D780" s="1425" t="s">
        <v>21</v>
      </c>
      <c r="E780" s="1294"/>
      <c r="F780" s="1294"/>
      <c r="G780" s="1296"/>
      <c r="H780" s="776" t="s">
        <v>12</v>
      </c>
      <c r="I780" s="980"/>
      <c r="J780" s="980"/>
      <c r="K780" s="981"/>
      <c r="L780" s="1325">
        <f t="shared" ref="L780:N780" si="315">L781+L782</f>
        <v>0</v>
      </c>
      <c r="M780" s="1325">
        <f t="shared" si="315"/>
        <v>0</v>
      </c>
      <c r="N780" s="1325">
        <f t="shared" si="315"/>
        <v>0</v>
      </c>
      <c r="O780" s="1325">
        <f t="shared" ref="O780:O782" si="316">IF(L780&gt;0,N780*100/L780,0)</f>
        <v>0</v>
      </c>
      <c r="P780" s="1325">
        <f t="shared" ref="P780:P782" si="317">IF(M780&gt;0,N780*100/M780,0)</f>
        <v>0</v>
      </c>
      <c r="Q780" s="1297"/>
      <c r="R780" s="1297"/>
      <c r="S780" s="1297"/>
      <c r="T780" s="1297"/>
      <c r="U780" s="1297"/>
      <c r="V780" s="1297"/>
      <c r="W780" s="1297"/>
      <c r="X780" s="1297"/>
      <c r="Y780" s="1297"/>
      <c r="Z780" s="1297"/>
    </row>
    <row r="781" spans="1:26" ht="18.75" hidden="1">
      <c r="A781" s="1293"/>
      <c r="B781" s="1298"/>
      <c r="C781" s="1294"/>
      <c r="D781" s="1294"/>
      <c r="E781" s="1294" t="s">
        <v>18</v>
      </c>
      <c r="F781" s="1294"/>
      <c r="G781" s="1296"/>
      <c r="H781" s="165" t="s">
        <v>12</v>
      </c>
      <c r="I781" s="980"/>
      <c r="J781" s="980"/>
      <c r="K781" s="981"/>
      <c r="L781" s="870">
        <v>0</v>
      </c>
      <c r="M781" s="870">
        <v>0</v>
      </c>
      <c r="N781" s="870">
        <v>0</v>
      </c>
      <c r="O781" s="870">
        <f t="shared" si="316"/>
        <v>0</v>
      </c>
      <c r="P781" s="870">
        <f t="shared" si="317"/>
        <v>0</v>
      </c>
      <c r="Q781" s="1297"/>
      <c r="R781" s="1297"/>
      <c r="S781" s="1297"/>
      <c r="T781" s="1297"/>
      <c r="U781" s="1297"/>
      <c r="V781" s="1297"/>
      <c r="W781" s="1297"/>
      <c r="X781" s="1297"/>
      <c r="Y781" s="1297"/>
      <c r="Z781" s="1297"/>
    </row>
    <row r="782" spans="1:26" ht="18.75" hidden="1">
      <c r="A782" s="1293"/>
      <c r="B782" s="1298"/>
      <c r="C782" s="1294"/>
      <c r="D782" s="1294"/>
      <c r="E782" s="1294" t="s">
        <v>19</v>
      </c>
      <c r="F782" s="1294"/>
      <c r="G782" s="1296"/>
      <c r="H782" s="169" t="s">
        <v>12</v>
      </c>
      <c r="I782" s="980"/>
      <c r="J782" s="980"/>
      <c r="K782" s="981"/>
      <c r="L782" s="870">
        <v>0</v>
      </c>
      <c r="M782" s="870">
        <v>0</v>
      </c>
      <c r="N782" s="870">
        <v>0</v>
      </c>
      <c r="O782" s="870">
        <f t="shared" si="316"/>
        <v>0</v>
      </c>
      <c r="P782" s="870">
        <f t="shared" si="317"/>
        <v>0</v>
      </c>
      <c r="Q782" s="1297"/>
      <c r="R782" s="1297"/>
      <c r="S782" s="1297"/>
      <c r="T782" s="1297"/>
      <c r="U782" s="1297"/>
      <c r="V782" s="1297"/>
      <c r="W782" s="1297"/>
      <c r="X782" s="1297"/>
      <c r="Y782" s="1297"/>
      <c r="Z782" s="1297"/>
    </row>
    <row r="783" spans="1:26" ht="19.5" hidden="1">
      <c r="A783" s="1306"/>
      <c r="B783" s="1307"/>
      <c r="C783" s="1294" t="s">
        <v>16</v>
      </c>
      <c r="D783" s="1426" t="s">
        <v>38</v>
      </c>
      <c r="E783" s="1329"/>
      <c r="F783" s="1329"/>
      <c r="G783" s="1330"/>
      <c r="H783" s="1439"/>
      <c r="I783" s="980"/>
      <c r="J783" s="980"/>
      <c r="K783" s="981"/>
      <c r="L783" s="981"/>
      <c r="M783" s="981"/>
      <c r="N783" s="981"/>
      <c r="O783" s="981"/>
      <c r="P783" s="981"/>
      <c r="Q783" s="1297"/>
      <c r="R783" s="1297"/>
      <c r="S783" s="1297"/>
      <c r="T783" s="1297"/>
      <c r="U783" s="1297"/>
      <c r="V783" s="1297"/>
      <c r="W783" s="1297"/>
      <c r="X783" s="1297"/>
      <c r="Y783" s="1297"/>
      <c r="Z783" s="1297"/>
    </row>
    <row r="784" spans="1:26" ht="18.75" hidden="1">
      <c r="A784" s="1327"/>
      <c r="B784" s="1298"/>
      <c r="C784" s="1294"/>
      <c r="D784" s="1294"/>
      <c r="E784" s="1294" t="s">
        <v>318</v>
      </c>
      <c r="F784" s="1294"/>
      <c r="G784" s="1296"/>
      <c r="H784" s="165" t="s">
        <v>46</v>
      </c>
      <c r="I784" s="869"/>
      <c r="J784" s="869"/>
      <c r="K784" s="870"/>
      <c r="L784" s="870"/>
      <c r="M784" s="870"/>
      <c r="N784" s="870"/>
      <c r="O784" s="870"/>
      <c r="P784" s="870"/>
      <c r="Q784" s="1297"/>
      <c r="R784" s="1297"/>
      <c r="S784" s="1297"/>
      <c r="T784" s="1297"/>
      <c r="U784" s="1297"/>
      <c r="V784" s="1297"/>
      <c r="W784" s="1297"/>
      <c r="X784" s="1297"/>
      <c r="Y784" s="1297"/>
      <c r="Z784" s="1297"/>
    </row>
    <row r="785" spans="1:26" ht="19.5">
      <c r="A785" s="795">
        <v>12</v>
      </c>
      <c r="B785" s="1440" t="s">
        <v>319</v>
      </c>
      <c r="C785" s="1441"/>
      <c r="D785" s="1441"/>
      <c r="E785" s="1441"/>
      <c r="F785" s="1441"/>
      <c r="G785" s="1442"/>
      <c r="H785" s="799" t="s">
        <v>46</v>
      </c>
      <c r="I785" s="800">
        <f t="shared" ref="I785:J785" ca="1" si="318">I801+I803</f>
        <v>5000</v>
      </c>
      <c r="J785" s="800">
        <f t="shared" ca="1" si="318"/>
        <v>1632</v>
      </c>
      <c r="K785" s="801">
        <f ca="1">IF(I785&gt;0,J785*100/I785,0)</f>
        <v>32.64</v>
      </c>
      <c r="L785" s="1447"/>
      <c r="M785" s="1447"/>
      <c r="N785" s="1447"/>
      <c r="O785" s="1447"/>
      <c r="P785" s="1447"/>
      <c r="Q785" s="1277"/>
      <c r="R785" s="1277"/>
      <c r="S785" s="1277"/>
      <c r="T785" s="1277"/>
      <c r="U785" s="1277"/>
      <c r="V785" s="1277"/>
      <c r="W785" s="1277"/>
      <c r="X785" s="1277"/>
      <c r="Y785" s="1277"/>
      <c r="Z785" s="1277"/>
    </row>
    <row r="786" spans="1:26" ht="19.5">
      <c r="A786" s="1292"/>
      <c r="B786" s="1275"/>
      <c r="C786" s="1276" t="s">
        <v>16</v>
      </c>
      <c r="D786" s="1555" t="s">
        <v>17</v>
      </c>
      <c r="E786" s="1533"/>
      <c r="F786" s="1533"/>
      <c r="G786" s="996"/>
      <c r="H786" s="803" t="s">
        <v>12</v>
      </c>
      <c r="I786" s="1465"/>
      <c r="J786" s="1465"/>
      <c r="K786" s="1466"/>
      <c r="L786" s="1000">
        <f t="shared" ref="L786:N786" ca="1" si="319">L787+L788</f>
        <v>335200</v>
      </c>
      <c r="M786" s="1000">
        <f t="shared" si="319"/>
        <v>0</v>
      </c>
      <c r="N786" s="1000">
        <f t="shared" si="319"/>
        <v>146979.52000000002</v>
      </c>
      <c r="O786" s="1000">
        <f t="shared" ref="O786:O791" ca="1" si="320">IF(L786&gt;0,N786*100/L786,0)</f>
        <v>43.848305489260149</v>
      </c>
      <c r="P786" s="1000">
        <f t="shared" ref="P786:P791" si="321">IF(M786&gt;0,N786*100/M786,0)</f>
        <v>0</v>
      </c>
      <c r="Q786" s="1277"/>
      <c r="R786" s="1277"/>
      <c r="S786" s="1277"/>
      <c r="T786" s="1277"/>
      <c r="U786" s="1277"/>
      <c r="V786" s="1277"/>
      <c r="W786" s="1277"/>
      <c r="X786" s="1277"/>
      <c r="Y786" s="1277"/>
      <c r="Z786" s="1277"/>
    </row>
    <row r="787" spans="1:26" ht="18.75" hidden="1">
      <c r="A787" s="1293"/>
      <c r="B787" s="1298"/>
      <c r="C787" s="1294"/>
      <c r="D787" s="1295"/>
      <c r="E787" s="1294" t="s">
        <v>184</v>
      </c>
      <c r="F787" s="1294"/>
      <c r="G787" s="1296"/>
      <c r="H787" s="806" t="s">
        <v>12</v>
      </c>
      <c r="I787" s="1465"/>
      <c r="J787" s="1465"/>
      <c r="K787" s="1466"/>
      <c r="L787" s="870">
        <f t="shared" ref="L787:N788" si="322">L790+L797</f>
        <v>0</v>
      </c>
      <c r="M787" s="870">
        <f t="shared" si="322"/>
        <v>0</v>
      </c>
      <c r="N787" s="870">
        <f t="shared" si="322"/>
        <v>0</v>
      </c>
      <c r="O787" s="870">
        <f t="shared" si="320"/>
        <v>0</v>
      </c>
      <c r="P787" s="870">
        <f t="shared" si="321"/>
        <v>0</v>
      </c>
      <c r="Q787" s="1297"/>
      <c r="R787" s="1297"/>
      <c r="S787" s="1297"/>
      <c r="T787" s="1297"/>
      <c r="U787" s="1297"/>
      <c r="V787" s="1297"/>
      <c r="W787" s="1297"/>
      <c r="X787" s="1297"/>
      <c r="Y787" s="1297"/>
      <c r="Z787" s="1297"/>
    </row>
    <row r="788" spans="1:26" ht="18.75" hidden="1">
      <c r="A788" s="1293"/>
      <c r="B788" s="1298"/>
      <c r="C788" s="1298"/>
      <c r="D788" s="1307"/>
      <c r="E788" s="1294" t="s">
        <v>185</v>
      </c>
      <c r="F788" s="1294"/>
      <c r="G788" s="1296"/>
      <c r="H788" s="806" t="s">
        <v>12</v>
      </c>
      <c r="I788" s="1465"/>
      <c r="J788" s="1465"/>
      <c r="K788" s="1466"/>
      <c r="L788" s="870">
        <f t="shared" ca="1" si="322"/>
        <v>335200</v>
      </c>
      <c r="M788" s="870">
        <f t="shared" si="322"/>
        <v>0</v>
      </c>
      <c r="N788" s="870">
        <f t="shared" si="322"/>
        <v>146979.52000000002</v>
      </c>
      <c r="O788" s="870">
        <f t="shared" ca="1" si="320"/>
        <v>43.848305489260149</v>
      </c>
      <c r="P788" s="870">
        <f t="shared" si="321"/>
        <v>0</v>
      </c>
      <c r="Q788" s="1297"/>
      <c r="R788" s="1297"/>
      <c r="S788" s="1297"/>
      <c r="T788" s="1297"/>
      <c r="U788" s="1297"/>
      <c r="V788" s="1297"/>
      <c r="W788" s="1297"/>
      <c r="X788" s="1297"/>
      <c r="Y788" s="1297"/>
      <c r="Z788" s="1297"/>
    </row>
    <row r="789" spans="1:26" ht="18.75">
      <c r="A789" s="1292"/>
      <c r="B789" s="1275"/>
      <c r="C789" s="1275"/>
      <c r="D789" s="1299" t="s">
        <v>20</v>
      </c>
      <c r="E789" s="1276"/>
      <c r="F789" s="1276"/>
      <c r="G789" s="996"/>
      <c r="H789" s="807" t="s">
        <v>12</v>
      </c>
      <c r="I789" s="1467"/>
      <c r="J789" s="1467"/>
      <c r="K789" s="1468"/>
      <c r="L789" s="864">
        <f t="shared" ref="L789:N789" ca="1" si="323">L790+L791</f>
        <v>335200</v>
      </c>
      <c r="M789" s="864">
        <f t="shared" si="323"/>
        <v>0</v>
      </c>
      <c r="N789" s="864">
        <f t="shared" si="323"/>
        <v>146979.52000000002</v>
      </c>
      <c r="O789" s="864">
        <f t="shared" ca="1" si="320"/>
        <v>43.848305489260149</v>
      </c>
      <c r="P789" s="864">
        <f t="shared" si="321"/>
        <v>0</v>
      </c>
      <c r="Q789" s="1277"/>
      <c r="R789" s="1277"/>
      <c r="S789" s="1277"/>
      <c r="T789" s="1277"/>
      <c r="U789" s="1277"/>
      <c r="V789" s="1277"/>
      <c r="W789" s="1277"/>
      <c r="X789" s="1277"/>
      <c r="Y789" s="1277"/>
      <c r="Z789" s="1277"/>
    </row>
    <row r="790" spans="1:26" ht="18.75" hidden="1">
      <c r="A790" s="1293"/>
      <c r="B790" s="1298"/>
      <c r="C790" s="1298"/>
      <c r="D790" s="1307"/>
      <c r="E790" s="1294" t="s">
        <v>184</v>
      </c>
      <c r="F790" s="1294"/>
      <c r="G790" s="1296"/>
      <c r="H790" s="806" t="s">
        <v>12</v>
      </c>
      <c r="I790" s="1465"/>
      <c r="J790" s="1465"/>
      <c r="K790" s="1466"/>
      <c r="L790" s="870">
        <v>0</v>
      </c>
      <c r="M790" s="870">
        <v>0</v>
      </c>
      <c r="N790" s="870">
        <v>0</v>
      </c>
      <c r="O790" s="870">
        <f t="shared" si="320"/>
        <v>0</v>
      </c>
      <c r="P790" s="870">
        <f t="shared" si="321"/>
        <v>0</v>
      </c>
      <c r="Q790" s="1297"/>
      <c r="R790" s="1297"/>
      <c r="S790" s="1297"/>
      <c r="T790" s="1297"/>
      <c r="U790" s="1297"/>
      <c r="V790" s="1297"/>
      <c r="W790" s="1297"/>
      <c r="X790" s="1297"/>
      <c r="Y790" s="1297"/>
      <c r="Z790" s="1297"/>
    </row>
    <row r="791" spans="1:26" ht="18.75" hidden="1">
      <c r="A791" s="1293"/>
      <c r="B791" s="1298"/>
      <c r="C791" s="1298"/>
      <c r="D791" s="1307"/>
      <c r="E791" s="1294" t="s">
        <v>185</v>
      </c>
      <c r="F791" s="1294"/>
      <c r="G791" s="1296"/>
      <c r="H791" s="806" t="s">
        <v>12</v>
      </c>
      <c r="I791" s="1465"/>
      <c r="J791" s="1465"/>
      <c r="K791" s="1466"/>
      <c r="L791" s="870">
        <f ca="1">IFERROR(__xludf.DUMMYFUNCTION("IMPORTRANGE(""https://docs.google.com/spreadsheets/d/1QqKyyYR6Q21VydFLVH3TRQUabQu_ym0Zz7PgGX0-kHA/edit?usp=sharing"",""แผน!JJ51"")"),335200)</f>
        <v>335200</v>
      </c>
      <c r="M791" s="870">
        <v>0</v>
      </c>
      <c r="N791" s="870">
        <f>N792+N793+N794+N795</f>
        <v>146979.52000000002</v>
      </c>
      <c r="O791" s="870">
        <f t="shared" ca="1" si="320"/>
        <v>43.848305489260149</v>
      </c>
      <c r="P791" s="870">
        <f t="shared" si="321"/>
        <v>0</v>
      </c>
      <c r="Q791" s="1297"/>
      <c r="R791" s="1297"/>
      <c r="S791" s="1297"/>
      <c r="T791" s="1297"/>
      <c r="U791" s="1297"/>
      <c r="V791" s="1297"/>
      <c r="W791" s="1297"/>
      <c r="X791" s="1297"/>
      <c r="Y791" s="1297"/>
      <c r="Z791" s="1297"/>
    </row>
    <row r="792" spans="1:26" ht="18.75">
      <c r="A792" s="1274"/>
      <c r="B792" s="1275"/>
      <c r="C792" s="1276"/>
      <c r="D792" s="1276"/>
      <c r="E792" s="1276"/>
      <c r="F792" s="1276" t="s">
        <v>186</v>
      </c>
      <c r="G792" s="996"/>
      <c r="H792" s="807" t="s">
        <v>12</v>
      </c>
      <c r="I792" s="1465"/>
      <c r="J792" s="1465"/>
      <c r="K792" s="1466"/>
      <c r="L792" s="864"/>
      <c r="M792" s="864"/>
      <c r="N792" s="1064">
        <v>0</v>
      </c>
      <c r="O792" s="864"/>
      <c r="P792" s="864"/>
      <c r="Q792" s="1277"/>
      <c r="R792" s="1277"/>
      <c r="S792" s="1277"/>
      <c r="T792" s="1277"/>
      <c r="U792" s="1277"/>
      <c r="V792" s="1277"/>
      <c r="W792" s="1277"/>
      <c r="X792" s="1277"/>
      <c r="Y792" s="1277"/>
      <c r="Z792" s="1277"/>
    </row>
    <row r="793" spans="1:26" ht="18.75">
      <c r="A793" s="1274"/>
      <c r="B793" s="1275"/>
      <c r="C793" s="1276"/>
      <c r="D793" s="1276"/>
      <c r="E793" s="1276"/>
      <c r="F793" s="1276" t="s">
        <v>187</v>
      </c>
      <c r="G793" s="996"/>
      <c r="H793" s="807" t="s">
        <v>12</v>
      </c>
      <c r="I793" s="1465"/>
      <c r="J793" s="1465"/>
      <c r="K793" s="1466"/>
      <c r="L793" s="864"/>
      <c r="M793" s="864"/>
      <c r="N793" s="1064">
        <v>0</v>
      </c>
      <c r="O793" s="864"/>
      <c r="P793" s="864"/>
      <c r="Q793" s="1277"/>
      <c r="R793" s="1277"/>
      <c r="S793" s="1277"/>
      <c r="T793" s="1277"/>
      <c r="U793" s="1277"/>
      <c r="V793" s="1277"/>
      <c r="W793" s="1277"/>
      <c r="X793" s="1277"/>
      <c r="Y793" s="1277"/>
      <c r="Z793" s="1277"/>
    </row>
    <row r="794" spans="1:26" ht="18.75">
      <c r="A794" s="1274"/>
      <c r="B794" s="1275"/>
      <c r="C794" s="1276"/>
      <c r="D794" s="1276"/>
      <c r="E794" s="1276"/>
      <c r="F794" s="1276" t="s">
        <v>188</v>
      </c>
      <c r="G794" s="996"/>
      <c r="H794" s="807" t="s">
        <v>12</v>
      </c>
      <c r="I794" s="1465"/>
      <c r="J794" s="1465"/>
      <c r="K794" s="1466"/>
      <c r="L794" s="864"/>
      <c r="M794" s="864"/>
      <c r="N794" s="1064">
        <v>59287</v>
      </c>
      <c r="O794" s="864"/>
      <c r="P794" s="864"/>
      <c r="Q794" s="1277"/>
      <c r="R794" s="1277"/>
      <c r="S794" s="1277"/>
      <c r="T794" s="1277"/>
      <c r="U794" s="1277"/>
      <c r="V794" s="1277"/>
      <c r="W794" s="1277"/>
      <c r="X794" s="1277"/>
      <c r="Y794" s="1277"/>
      <c r="Z794" s="1277"/>
    </row>
    <row r="795" spans="1:26" ht="18.75">
      <c r="A795" s="1274"/>
      <c r="B795" s="1275"/>
      <c r="C795" s="1276"/>
      <c r="D795" s="1276"/>
      <c r="E795" s="1276"/>
      <c r="F795" s="1276" t="s">
        <v>189</v>
      </c>
      <c r="G795" s="996"/>
      <c r="H795" s="807" t="s">
        <v>12</v>
      </c>
      <c r="I795" s="1465"/>
      <c r="J795" s="1465"/>
      <c r="K795" s="1466"/>
      <c r="L795" s="864"/>
      <c r="M795" s="864"/>
      <c r="N795" s="1064">
        <f>41800+39800+6092.52</f>
        <v>87692.52</v>
      </c>
      <c r="O795" s="864"/>
      <c r="P795" s="864"/>
      <c r="Q795" s="1277"/>
      <c r="R795" s="1277"/>
      <c r="S795" s="1277"/>
      <c r="T795" s="1277"/>
      <c r="U795" s="1277"/>
      <c r="V795" s="1277"/>
      <c r="W795" s="1277"/>
      <c r="X795" s="1277"/>
      <c r="Y795" s="1277"/>
      <c r="Z795" s="1277"/>
    </row>
    <row r="796" spans="1:26" ht="18.75">
      <c r="A796" s="1292"/>
      <c r="B796" s="1275"/>
      <c r="C796" s="1276"/>
      <c r="D796" s="1299" t="s">
        <v>21</v>
      </c>
      <c r="E796" s="1276"/>
      <c r="F796" s="1276"/>
      <c r="G796" s="996"/>
      <c r="H796" s="810" t="s">
        <v>12</v>
      </c>
      <c r="I796" s="1467"/>
      <c r="J796" s="1467"/>
      <c r="K796" s="1468"/>
      <c r="L796" s="864">
        <f t="shared" ref="L796:N796" si="324">L797+L798</f>
        <v>0</v>
      </c>
      <c r="M796" s="864">
        <f t="shared" si="324"/>
        <v>0</v>
      </c>
      <c r="N796" s="864">
        <f t="shared" si="324"/>
        <v>0</v>
      </c>
      <c r="O796" s="864">
        <f t="shared" ref="O796:O798" si="325">IF(L796&gt;0,N796*100/L796,0)</f>
        <v>0</v>
      </c>
      <c r="P796" s="864">
        <f t="shared" ref="P796:P798" si="326">IF(M796&gt;0,N796*100/M796,0)</f>
        <v>0</v>
      </c>
      <c r="Q796" s="1277"/>
      <c r="R796" s="1277"/>
      <c r="S796" s="1277"/>
      <c r="T796" s="1277"/>
      <c r="U796" s="1277"/>
      <c r="V796" s="1277"/>
      <c r="W796" s="1277"/>
      <c r="X796" s="1277"/>
      <c r="Y796" s="1277"/>
      <c r="Z796" s="1277"/>
    </row>
    <row r="797" spans="1:26" ht="18.75" hidden="1">
      <c r="A797" s="1293"/>
      <c r="B797" s="1298"/>
      <c r="C797" s="1294"/>
      <c r="D797" s="1294"/>
      <c r="E797" s="1294" t="s">
        <v>18</v>
      </c>
      <c r="F797" s="1294"/>
      <c r="G797" s="1296"/>
      <c r="H797" s="806" t="s">
        <v>12</v>
      </c>
      <c r="I797" s="1467"/>
      <c r="J797" s="1467"/>
      <c r="K797" s="1468"/>
      <c r="L797" s="870">
        <v>0</v>
      </c>
      <c r="M797" s="870">
        <v>0</v>
      </c>
      <c r="N797" s="870">
        <v>0</v>
      </c>
      <c r="O797" s="870">
        <f t="shared" si="325"/>
        <v>0</v>
      </c>
      <c r="P797" s="870">
        <f t="shared" si="326"/>
        <v>0</v>
      </c>
      <c r="Q797" s="1297"/>
      <c r="R797" s="1297"/>
      <c r="S797" s="1297"/>
      <c r="T797" s="1297"/>
      <c r="U797" s="1297"/>
      <c r="V797" s="1297"/>
      <c r="W797" s="1297"/>
      <c r="X797" s="1297"/>
      <c r="Y797" s="1297"/>
      <c r="Z797" s="1297"/>
    </row>
    <row r="798" spans="1:26" ht="18.75" hidden="1">
      <c r="A798" s="1293"/>
      <c r="B798" s="1298"/>
      <c r="C798" s="1294"/>
      <c r="D798" s="1294"/>
      <c r="E798" s="1294" t="s">
        <v>19</v>
      </c>
      <c r="F798" s="1294"/>
      <c r="G798" s="1296"/>
      <c r="H798" s="811" t="s">
        <v>12</v>
      </c>
      <c r="I798" s="1467"/>
      <c r="J798" s="1467"/>
      <c r="K798" s="1468"/>
      <c r="L798" s="870">
        <v>0</v>
      </c>
      <c r="M798" s="870">
        <v>0</v>
      </c>
      <c r="N798" s="870">
        <v>0</v>
      </c>
      <c r="O798" s="870">
        <f t="shared" si="325"/>
        <v>0</v>
      </c>
      <c r="P798" s="870">
        <f t="shared" si="326"/>
        <v>0</v>
      </c>
      <c r="Q798" s="1297"/>
      <c r="R798" s="1297"/>
      <c r="S798" s="1297"/>
      <c r="T798" s="1297"/>
      <c r="U798" s="1297"/>
      <c r="V798" s="1297"/>
      <c r="W798" s="1297"/>
      <c r="X798" s="1297"/>
      <c r="Y798" s="1297"/>
      <c r="Z798" s="1297"/>
    </row>
    <row r="799" spans="1:26" ht="19.5">
      <c r="A799" s="1300"/>
      <c r="B799" s="1301"/>
      <c r="C799" s="1276" t="s">
        <v>16</v>
      </c>
      <c r="D799" s="1411" t="s">
        <v>38</v>
      </c>
      <c r="E799" s="1304"/>
      <c r="F799" s="1304"/>
      <c r="G799" s="1305"/>
      <c r="H799" s="1469"/>
      <c r="I799" s="1467"/>
      <c r="J799" s="1467"/>
      <c r="K799" s="1468"/>
      <c r="L799" s="978"/>
      <c r="M799" s="978"/>
      <c r="N799" s="978"/>
      <c r="O799" s="978"/>
      <c r="P799" s="978"/>
      <c r="Q799" s="1277"/>
      <c r="R799" s="1277"/>
      <c r="S799" s="1277"/>
      <c r="T799" s="1277"/>
      <c r="U799" s="1277"/>
      <c r="V799" s="1277"/>
      <c r="W799" s="1277"/>
      <c r="X799" s="1277"/>
      <c r="Y799" s="1277"/>
      <c r="Z799" s="1277"/>
    </row>
    <row r="800" spans="1:26" ht="18.75">
      <c r="A800" s="1300"/>
      <c r="B800" s="1301"/>
      <c r="C800" s="1301"/>
      <c r="D800" s="1301"/>
      <c r="E800" s="994"/>
      <c r="F800" s="994" t="s">
        <v>320</v>
      </c>
      <c r="G800" s="987"/>
      <c r="H800" s="813" t="s">
        <v>34</v>
      </c>
      <c r="I800" s="1467"/>
      <c r="J800" s="814">
        <f ca="1">IFERROR(__xludf.DUMMYFUNCTION("IMPORTRANGE(""https://docs.google.com/spreadsheets/d/1MaWodYyGHDf7siQLGxnXhG4mBNTNIuy296niS2xXulU/edit?usp=sharing"",""RTK!H51"")"),102)</f>
        <v>102</v>
      </c>
      <c r="K800" s="1466"/>
      <c r="L800" s="864"/>
      <c r="M800" s="864"/>
      <c r="N800" s="864"/>
      <c r="O800" s="978"/>
      <c r="P800" s="978"/>
      <c r="Q800" s="1277"/>
      <c r="R800" s="1277"/>
      <c r="S800" s="1277"/>
      <c r="T800" s="1277"/>
      <c r="U800" s="1277"/>
      <c r="V800" s="1277"/>
      <c r="W800" s="1277"/>
      <c r="X800" s="1277"/>
      <c r="Y800" s="1277"/>
      <c r="Z800" s="1277"/>
    </row>
    <row r="801" spans="1:26" ht="18.75">
      <c r="A801" s="1300"/>
      <c r="B801" s="1301"/>
      <c r="C801" s="1301"/>
      <c r="D801" s="1301"/>
      <c r="E801" s="994"/>
      <c r="F801" s="994"/>
      <c r="G801" s="987"/>
      <c r="H801" s="807" t="s">
        <v>46</v>
      </c>
      <c r="I801" s="814">
        <f ca="1">IFERROR(__xludf.DUMMYFUNCTION("IMPORTRANGE(""https://docs.google.com/spreadsheets/d/1MaWodYyGHDf7siQLGxnXhG4mBNTNIuy296niS2xXulU/edit?usp=sharing"",""RTK!G51"")"),5000)</f>
        <v>5000</v>
      </c>
      <c r="J801" s="815">
        <f ca="1">IFERROR(__xludf.DUMMYFUNCTION("IMPORTRANGE(""https://docs.google.com/spreadsheets/d/1MaWodYyGHDf7siQLGxnXhG4mBNTNIuy296niS2xXulU/edit?usp=sharing"",""RTK!I51"")"),1632)</f>
        <v>1632</v>
      </c>
      <c r="K801" s="816">
        <f ca="1">IF(I801&gt;0,J801*100/I801,0)</f>
        <v>32.64</v>
      </c>
      <c r="L801" s="864"/>
      <c r="M801" s="864"/>
      <c r="N801" s="864"/>
      <c r="O801" s="978"/>
      <c r="P801" s="978"/>
      <c r="Q801" s="1277"/>
      <c r="R801" s="1277"/>
      <c r="S801" s="1277"/>
      <c r="T801" s="1277"/>
      <c r="U801" s="1277"/>
      <c r="V801" s="1277"/>
      <c r="W801" s="1277"/>
      <c r="X801" s="1277"/>
      <c r="Y801" s="1277"/>
      <c r="Z801" s="1277"/>
    </row>
    <row r="802" spans="1:26" ht="18.75">
      <c r="A802" s="1476"/>
      <c r="B802" s="1477"/>
      <c r="C802" s="1477"/>
      <c r="D802" s="1477"/>
      <c r="E802" s="1470"/>
      <c r="F802" s="1470" t="s">
        <v>321</v>
      </c>
      <c r="G802" s="1478"/>
      <c r="H802" s="813" t="s">
        <v>34</v>
      </c>
      <c r="I802" s="1467"/>
      <c r="J802" s="814">
        <f ca="1">IFERROR(__xludf.DUMMYFUNCTION("IMPORTRANGE(""https://docs.google.com/spreadsheets/d/1MaWodYyGHDf7siQLGxnXhG4mBNTNIuy296niS2xXulU/edit?usp=sharing"",""RTK!L51"")"),0)</f>
        <v>0</v>
      </c>
      <c r="K802" s="1466"/>
      <c r="L802" s="1102"/>
      <c r="M802" s="1102"/>
      <c r="N802" s="1102"/>
      <c r="O802" s="1102"/>
      <c r="P802" s="1102"/>
      <c r="Q802" s="1479"/>
      <c r="R802" s="1479"/>
      <c r="S802" s="1479"/>
      <c r="T802" s="1479"/>
      <c r="U802" s="1479"/>
      <c r="V802" s="1479"/>
      <c r="W802" s="1479"/>
      <c r="X802" s="1479"/>
      <c r="Y802" s="1479"/>
      <c r="Z802" s="1479"/>
    </row>
    <row r="803" spans="1:26" ht="18.75">
      <c r="A803" s="1476"/>
      <c r="B803" s="1477"/>
      <c r="C803" s="1477"/>
      <c r="D803" s="1477"/>
      <c r="E803" s="1470"/>
      <c r="F803" s="1470"/>
      <c r="G803" s="1478"/>
      <c r="H803" s="813" t="s">
        <v>46</v>
      </c>
      <c r="I803" s="814">
        <f ca="1">IFERROR(__xludf.DUMMYFUNCTION("IMPORTRANGE(""https://docs.google.com/spreadsheets/d/1MaWodYyGHDf7siQLGxnXhG4mBNTNIuy296niS2xXulU/edit?usp=sharing"",""RTK!K51"")"),0)</f>
        <v>0</v>
      </c>
      <c r="J803" s="815">
        <f ca="1">IFERROR(__xludf.DUMMYFUNCTION("IMPORTRANGE(""https://docs.google.com/spreadsheets/d/1MaWodYyGHDf7siQLGxnXhG4mBNTNIuy296niS2xXulU/edit?usp=sharing"",""RTK!M51"")"),0)</f>
        <v>0</v>
      </c>
      <c r="K803" s="816">
        <f t="shared" ref="K803:K804" ca="1" si="327">IF(I803&gt;0,J803*100/I803,0)</f>
        <v>0</v>
      </c>
      <c r="L803" s="1102"/>
      <c r="M803" s="1102"/>
      <c r="N803" s="1102"/>
      <c r="O803" s="1102"/>
      <c r="P803" s="1102"/>
      <c r="Q803" s="1479"/>
      <c r="R803" s="1479"/>
      <c r="S803" s="1479"/>
      <c r="T803" s="1479"/>
      <c r="U803" s="1479"/>
      <c r="V803" s="1479"/>
      <c r="W803" s="1479"/>
      <c r="X803" s="1479"/>
      <c r="Y803" s="1479"/>
      <c r="Z803" s="1479"/>
    </row>
    <row r="804" spans="1:26" ht="19.5" hidden="1">
      <c r="A804" s="786">
        <v>13</v>
      </c>
      <c r="B804" s="1433" t="s">
        <v>322</v>
      </c>
      <c r="C804" s="1434"/>
      <c r="D804" s="1449"/>
      <c r="E804" s="1434"/>
      <c r="F804" s="1434"/>
      <c r="G804" s="1435"/>
      <c r="H804" s="790" t="s">
        <v>46</v>
      </c>
      <c r="I804" s="1436"/>
      <c r="J804" s="1436">
        <f>J819</f>
        <v>0</v>
      </c>
      <c r="K804" s="1437">
        <f t="shared" si="327"/>
        <v>0</v>
      </c>
      <c r="L804" s="1438"/>
      <c r="M804" s="1438"/>
      <c r="N804" s="1438"/>
      <c r="O804" s="1438"/>
      <c r="P804" s="1438"/>
      <c r="Q804" s="1297"/>
      <c r="R804" s="1297"/>
      <c r="S804" s="1297"/>
      <c r="T804" s="1297"/>
      <c r="U804" s="1297"/>
      <c r="V804" s="1297"/>
      <c r="W804" s="1297"/>
      <c r="X804" s="1297"/>
      <c r="Y804" s="1297"/>
      <c r="Z804" s="1297"/>
    </row>
    <row r="805" spans="1:26" ht="19.5" hidden="1">
      <c r="A805" s="1293"/>
      <c r="B805" s="1294"/>
      <c r="C805" s="1294" t="s">
        <v>16</v>
      </c>
      <c r="D805" s="1556" t="s">
        <v>17</v>
      </c>
      <c r="E805" s="1533"/>
      <c r="F805" s="1533"/>
      <c r="G805" s="1296"/>
      <c r="H805" s="639" t="s">
        <v>12</v>
      </c>
      <c r="I805" s="869"/>
      <c r="J805" s="869"/>
      <c r="K805" s="870"/>
      <c r="L805" s="1325">
        <f t="shared" ref="L805:N805" si="328">L806+L807</f>
        <v>0</v>
      </c>
      <c r="M805" s="1325">
        <f t="shared" si="328"/>
        <v>0</v>
      </c>
      <c r="N805" s="1325">
        <f t="shared" si="328"/>
        <v>0</v>
      </c>
      <c r="O805" s="1325">
        <f t="shared" ref="O805:O810" si="329">IF(L805&gt;0,N805*100/L805,0)</f>
        <v>0</v>
      </c>
      <c r="P805" s="1325">
        <f t="shared" ref="P805:P810" si="330">IF(M805&gt;0,N805*100/M805,0)</f>
        <v>0</v>
      </c>
      <c r="Q805" s="1297"/>
      <c r="R805" s="1297"/>
      <c r="S805" s="1297"/>
      <c r="T805" s="1297"/>
      <c r="U805" s="1297"/>
      <c r="V805" s="1297"/>
      <c r="W805" s="1297"/>
      <c r="X805" s="1297"/>
      <c r="Y805" s="1297"/>
      <c r="Z805" s="1297"/>
    </row>
    <row r="806" spans="1:26" ht="18.75" hidden="1">
      <c r="A806" s="1293"/>
      <c r="B806" s="1294"/>
      <c r="C806" s="1294"/>
      <c r="D806" s="1307"/>
      <c r="E806" s="1294" t="s">
        <v>184</v>
      </c>
      <c r="F806" s="1294"/>
      <c r="G806" s="1296"/>
      <c r="H806" s="165" t="s">
        <v>12</v>
      </c>
      <c r="I806" s="869"/>
      <c r="J806" s="869"/>
      <c r="K806" s="870"/>
      <c r="L806" s="870">
        <f t="shared" ref="L806:N807" si="331">L809+L816</f>
        <v>0</v>
      </c>
      <c r="M806" s="870">
        <f t="shared" si="331"/>
        <v>0</v>
      </c>
      <c r="N806" s="870">
        <f t="shared" si="331"/>
        <v>0</v>
      </c>
      <c r="O806" s="870">
        <f t="shared" si="329"/>
        <v>0</v>
      </c>
      <c r="P806" s="870">
        <f t="shared" si="330"/>
        <v>0</v>
      </c>
      <c r="Q806" s="1297"/>
      <c r="R806" s="1297"/>
      <c r="S806" s="1297"/>
      <c r="T806" s="1297"/>
      <c r="U806" s="1297"/>
      <c r="V806" s="1297"/>
      <c r="W806" s="1297"/>
      <c r="X806" s="1297"/>
      <c r="Y806" s="1297"/>
      <c r="Z806" s="1297"/>
    </row>
    <row r="807" spans="1:26" ht="18.75" hidden="1">
      <c r="A807" s="1293"/>
      <c r="B807" s="1294"/>
      <c r="C807" s="1294"/>
      <c r="D807" s="1307"/>
      <c r="E807" s="1294" t="s">
        <v>185</v>
      </c>
      <c r="F807" s="1294"/>
      <c r="G807" s="1296"/>
      <c r="H807" s="165" t="s">
        <v>12</v>
      </c>
      <c r="I807" s="869"/>
      <c r="J807" s="869"/>
      <c r="K807" s="870"/>
      <c r="L807" s="870">
        <f t="shared" si="331"/>
        <v>0</v>
      </c>
      <c r="M807" s="870">
        <f t="shared" si="331"/>
        <v>0</v>
      </c>
      <c r="N807" s="870">
        <f t="shared" si="331"/>
        <v>0</v>
      </c>
      <c r="O807" s="870">
        <f t="shared" si="329"/>
        <v>0</v>
      </c>
      <c r="P807" s="870">
        <f t="shared" si="330"/>
        <v>0</v>
      </c>
      <c r="Q807" s="1297"/>
      <c r="R807" s="1297"/>
      <c r="S807" s="1297"/>
      <c r="T807" s="1297"/>
      <c r="U807" s="1297"/>
      <c r="V807" s="1297"/>
      <c r="W807" s="1297"/>
      <c r="X807" s="1297"/>
      <c r="Y807" s="1297"/>
      <c r="Z807" s="1297"/>
    </row>
    <row r="808" spans="1:26" ht="19.5" hidden="1">
      <c r="A808" s="1293"/>
      <c r="B808" s="1298"/>
      <c r="C808" s="1294"/>
      <c r="D808" s="1557" t="s">
        <v>20</v>
      </c>
      <c r="E808" s="1533"/>
      <c r="F808" s="1533"/>
      <c r="G808" s="1296"/>
      <c r="H808" s="639" t="s">
        <v>12</v>
      </c>
      <c r="I808" s="980"/>
      <c r="J808" s="980"/>
      <c r="K808" s="981"/>
      <c r="L808" s="1325">
        <f t="shared" ref="L808:N808" si="332">L809+L810</f>
        <v>0</v>
      </c>
      <c r="M808" s="1325">
        <f t="shared" si="332"/>
        <v>0</v>
      </c>
      <c r="N808" s="1325">
        <f t="shared" si="332"/>
        <v>0</v>
      </c>
      <c r="O808" s="1325">
        <f t="shared" si="329"/>
        <v>0</v>
      </c>
      <c r="P808" s="1325">
        <f t="shared" si="330"/>
        <v>0</v>
      </c>
      <c r="Q808" s="1297"/>
      <c r="R808" s="1297"/>
      <c r="S808" s="1297"/>
      <c r="T808" s="1297"/>
      <c r="U808" s="1297"/>
      <c r="V808" s="1297"/>
      <c r="W808" s="1297"/>
      <c r="X808" s="1297"/>
      <c r="Y808" s="1297"/>
      <c r="Z808" s="1297"/>
    </row>
    <row r="809" spans="1:26" ht="18.75" hidden="1">
      <c r="A809" s="1293"/>
      <c r="B809" s="1294"/>
      <c r="C809" s="1294"/>
      <c r="D809" s="1307"/>
      <c r="E809" s="1294" t="s">
        <v>184</v>
      </c>
      <c r="F809" s="1294"/>
      <c r="G809" s="1296"/>
      <c r="H809" s="165" t="s">
        <v>12</v>
      </c>
      <c r="I809" s="869"/>
      <c r="J809" s="869"/>
      <c r="K809" s="870"/>
      <c r="L809" s="870">
        <v>0</v>
      </c>
      <c r="M809" s="870">
        <v>0</v>
      </c>
      <c r="N809" s="870">
        <v>0</v>
      </c>
      <c r="O809" s="870">
        <f t="shared" si="329"/>
        <v>0</v>
      </c>
      <c r="P809" s="870">
        <f t="shared" si="330"/>
        <v>0</v>
      </c>
      <c r="Q809" s="1297"/>
      <c r="R809" s="1297"/>
      <c r="S809" s="1297"/>
      <c r="T809" s="1297"/>
      <c r="U809" s="1297"/>
      <c r="V809" s="1297"/>
      <c r="W809" s="1297"/>
      <c r="X809" s="1297"/>
      <c r="Y809" s="1297"/>
      <c r="Z809" s="1297"/>
    </row>
    <row r="810" spans="1:26" ht="18.75" hidden="1">
      <c r="A810" s="1293"/>
      <c r="B810" s="1294"/>
      <c r="C810" s="1294"/>
      <c r="D810" s="1307"/>
      <c r="E810" s="1294" t="s">
        <v>185</v>
      </c>
      <c r="F810" s="1294"/>
      <c r="G810" s="1296"/>
      <c r="H810" s="165" t="s">
        <v>12</v>
      </c>
      <c r="I810" s="869"/>
      <c r="J810" s="869"/>
      <c r="K810" s="870"/>
      <c r="L810" s="870">
        <v>0</v>
      </c>
      <c r="M810" s="870">
        <v>0</v>
      </c>
      <c r="N810" s="870">
        <f>N811+N812+N813+N814</f>
        <v>0</v>
      </c>
      <c r="O810" s="870">
        <f t="shared" si="329"/>
        <v>0</v>
      </c>
      <c r="P810" s="870">
        <f t="shared" si="330"/>
        <v>0</v>
      </c>
      <c r="Q810" s="1297"/>
      <c r="R810" s="1297"/>
      <c r="S810" s="1297"/>
      <c r="T810" s="1297"/>
      <c r="U810" s="1297"/>
      <c r="V810" s="1297"/>
      <c r="W810" s="1297"/>
      <c r="X810" s="1297"/>
      <c r="Y810" s="1297"/>
      <c r="Z810" s="1297"/>
    </row>
    <row r="811" spans="1:26" ht="18.75" hidden="1">
      <c r="A811" s="1327"/>
      <c r="B811" s="1298"/>
      <c r="C811" s="1294"/>
      <c r="D811" s="1298"/>
      <c r="E811" s="1294"/>
      <c r="F811" s="1294" t="s">
        <v>186</v>
      </c>
      <c r="G811" s="1296"/>
      <c r="H811" s="165" t="s">
        <v>12</v>
      </c>
      <c r="I811" s="869"/>
      <c r="J811" s="869"/>
      <c r="K811" s="870"/>
      <c r="L811" s="870"/>
      <c r="M811" s="870"/>
      <c r="N811" s="870"/>
      <c r="O811" s="870"/>
      <c r="P811" s="870"/>
      <c r="Q811" s="1297"/>
      <c r="R811" s="1297"/>
      <c r="S811" s="1297"/>
      <c r="T811" s="1297"/>
      <c r="U811" s="1297"/>
      <c r="V811" s="1297"/>
      <c r="W811" s="1297"/>
      <c r="X811" s="1297"/>
      <c r="Y811" s="1297"/>
      <c r="Z811" s="1297"/>
    </row>
    <row r="812" spans="1:26" ht="18.75" hidden="1">
      <c r="A812" s="1327"/>
      <c r="B812" s="1298"/>
      <c r="C812" s="1294"/>
      <c r="D812" s="1298"/>
      <c r="E812" s="1294"/>
      <c r="F812" s="1294" t="s">
        <v>187</v>
      </c>
      <c r="G812" s="1296"/>
      <c r="H812" s="165" t="s">
        <v>12</v>
      </c>
      <c r="I812" s="869"/>
      <c r="J812" s="869"/>
      <c r="K812" s="870"/>
      <c r="L812" s="870"/>
      <c r="M812" s="870"/>
      <c r="N812" s="870"/>
      <c r="O812" s="870"/>
      <c r="P812" s="870"/>
      <c r="Q812" s="1297"/>
      <c r="R812" s="1297"/>
      <c r="S812" s="1297"/>
      <c r="T812" s="1297"/>
      <c r="U812" s="1297"/>
      <c r="V812" s="1297"/>
      <c r="W812" s="1297"/>
      <c r="X812" s="1297"/>
      <c r="Y812" s="1297"/>
      <c r="Z812" s="1297"/>
    </row>
    <row r="813" spans="1:26" ht="18.75" hidden="1">
      <c r="A813" s="1327"/>
      <c r="B813" s="1298"/>
      <c r="C813" s="1294"/>
      <c r="D813" s="1298"/>
      <c r="E813" s="1294"/>
      <c r="F813" s="1294" t="s">
        <v>188</v>
      </c>
      <c r="G813" s="1296"/>
      <c r="H813" s="165" t="s">
        <v>12</v>
      </c>
      <c r="I813" s="869"/>
      <c r="J813" s="869"/>
      <c r="K813" s="870"/>
      <c r="L813" s="870"/>
      <c r="M813" s="870"/>
      <c r="N813" s="870"/>
      <c r="O813" s="870"/>
      <c r="P813" s="870"/>
      <c r="Q813" s="1297"/>
      <c r="R813" s="1297"/>
      <c r="S813" s="1297"/>
      <c r="T813" s="1297"/>
      <c r="U813" s="1297"/>
      <c r="V813" s="1297"/>
      <c r="W813" s="1297"/>
      <c r="X813" s="1297"/>
      <c r="Y813" s="1297"/>
      <c r="Z813" s="1297"/>
    </row>
    <row r="814" spans="1:26" ht="18.75" hidden="1">
      <c r="A814" s="1327"/>
      <c r="B814" s="1298"/>
      <c r="C814" s="1294"/>
      <c r="D814" s="1298"/>
      <c r="E814" s="1294"/>
      <c r="F814" s="1294" t="s">
        <v>189</v>
      </c>
      <c r="G814" s="1296"/>
      <c r="H814" s="165" t="s">
        <v>12</v>
      </c>
      <c r="I814" s="869"/>
      <c r="J814" s="869"/>
      <c r="K814" s="870"/>
      <c r="L814" s="870"/>
      <c r="M814" s="870"/>
      <c r="N814" s="870"/>
      <c r="O814" s="870"/>
      <c r="P814" s="870"/>
      <c r="Q814" s="1297"/>
      <c r="R814" s="1297"/>
      <c r="S814" s="1297"/>
      <c r="T814" s="1297"/>
      <c r="U814" s="1297"/>
      <c r="V814" s="1297"/>
      <c r="W814" s="1297"/>
      <c r="X814" s="1297"/>
      <c r="Y814" s="1297"/>
      <c r="Z814" s="1297"/>
    </row>
    <row r="815" spans="1:26" ht="19.5" hidden="1">
      <c r="A815" s="1293"/>
      <c r="B815" s="1298"/>
      <c r="C815" s="1294"/>
      <c r="D815" s="1557" t="s">
        <v>21</v>
      </c>
      <c r="E815" s="1533"/>
      <c r="F815" s="1533"/>
      <c r="G815" s="1296"/>
      <c r="H815" s="776" t="s">
        <v>12</v>
      </c>
      <c r="I815" s="980"/>
      <c r="J815" s="980"/>
      <c r="K815" s="981"/>
      <c r="L815" s="1325">
        <f t="shared" ref="L815:N815" si="333">L816+L817</f>
        <v>0</v>
      </c>
      <c r="M815" s="1325">
        <f t="shared" si="333"/>
        <v>0</v>
      </c>
      <c r="N815" s="1325">
        <f t="shared" si="333"/>
        <v>0</v>
      </c>
      <c r="O815" s="1325">
        <f t="shared" ref="O815:O817" si="334">IF(L815&gt;0,N815*100/L815,0)</f>
        <v>0</v>
      </c>
      <c r="P815" s="1325">
        <f t="shared" ref="P815:P817" si="335">IF(M815&gt;0,N815*100/M815,0)</f>
        <v>0</v>
      </c>
      <c r="Q815" s="1297"/>
      <c r="R815" s="1297"/>
      <c r="S815" s="1297"/>
      <c r="T815" s="1297"/>
      <c r="U815" s="1297"/>
      <c r="V815" s="1297"/>
      <c r="W815" s="1297"/>
      <c r="X815" s="1297"/>
      <c r="Y815" s="1297"/>
      <c r="Z815" s="1297"/>
    </row>
    <row r="816" spans="1:26" ht="18.75" hidden="1">
      <c r="A816" s="1293"/>
      <c r="B816" s="1298"/>
      <c r="C816" s="1294"/>
      <c r="D816" s="1298"/>
      <c r="E816" s="1294" t="s">
        <v>18</v>
      </c>
      <c r="F816" s="1294"/>
      <c r="G816" s="1296"/>
      <c r="H816" s="165" t="s">
        <v>12</v>
      </c>
      <c r="I816" s="980"/>
      <c r="J816" s="980"/>
      <c r="K816" s="981"/>
      <c r="L816" s="870">
        <v>0</v>
      </c>
      <c r="M816" s="870">
        <v>0</v>
      </c>
      <c r="N816" s="870">
        <v>0</v>
      </c>
      <c r="O816" s="870">
        <f t="shared" si="334"/>
        <v>0</v>
      </c>
      <c r="P816" s="870">
        <f t="shared" si="335"/>
        <v>0</v>
      </c>
      <c r="Q816" s="1297"/>
      <c r="R816" s="1297"/>
      <c r="S816" s="1297"/>
      <c r="T816" s="1297"/>
      <c r="U816" s="1297"/>
      <c r="V816" s="1297"/>
      <c r="W816" s="1297"/>
      <c r="X816" s="1297"/>
      <c r="Y816" s="1297"/>
      <c r="Z816" s="1297"/>
    </row>
    <row r="817" spans="1:26" ht="18.75" hidden="1">
      <c r="A817" s="1293"/>
      <c r="B817" s="1298"/>
      <c r="C817" s="1294"/>
      <c r="D817" s="1298"/>
      <c r="E817" s="1294" t="s">
        <v>19</v>
      </c>
      <c r="F817" s="1294"/>
      <c r="G817" s="1296"/>
      <c r="H817" s="169" t="s">
        <v>12</v>
      </c>
      <c r="I817" s="980"/>
      <c r="J817" s="980"/>
      <c r="K817" s="981"/>
      <c r="L817" s="870">
        <v>0</v>
      </c>
      <c r="M817" s="870">
        <v>0</v>
      </c>
      <c r="N817" s="870">
        <v>0</v>
      </c>
      <c r="O817" s="870">
        <f t="shared" si="334"/>
        <v>0</v>
      </c>
      <c r="P817" s="870">
        <f t="shared" si="335"/>
        <v>0</v>
      </c>
      <c r="Q817" s="1297"/>
      <c r="R817" s="1297"/>
      <c r="S817" s="1297"/>
      <c r="T817" s="1297"/>
      <c r="U817" s="1297"/>
      <c r="V817" s="1297"/>
      <c r="W817" s="1297"/>
      <c r="X817" s="1297"/>
      <c r="Y817" s="1297"/>
      <c r="Z817" s="1297"/>
    </row>
    <row r="818" spans="1:26" ht="19.5" hidden="1">
      <c r="A818" s="1306"/>
      <c r="B818" s="1307"/>
      <c r="C818" s="1294" t="s">
        <v>16</v>
      </c>
      <c r="D818" s="1450" t="s">
        <v>38</v>
      </c>
      <c r="E818" s="1329"/>
      <c r="F818" s="1329"/>
      <c r="G818" s="1330"/>
      <c r="H818" s="1092"/>
      <c r="I818" s="980"/>
      <c r="J818" s="980"/>
      <c r="K818" s="981"/>
      <c r="L818" s="981"/>
      <c r="M818" s="981"/>
      <c r="N818" s="981"/>
      <c r="O818" s="981"/>
      <c r="P818" s="981"/>
      <c r="Q818" s="1297"/>
      <c r="R818" s="1297"/>
      <c r="S818" s="1297"/>
      <c r="T818" s="1297"/>
      <c r="U818" s="1297"/>
      <c r="V818" s="1297"/>
      <c r="W818" s="1297"/>
      <c r="X818" s="1297"/>
      <c r="Y818" s="1297"/>
      <c r="Z818" s="1297"/>
    </row>
    <row r="819" spans="1:26" ht="19.5" hidden="1" thickBot="1">
      <c r="A819" s="1451"/>
      <c r="B819" s="1452"/>
      <c r="C819" s="1453"/>
      <c r="D819" s="1452"/>
      <c r="E819" s="1453" t="s">
        <v>323</v>
      </c>
      <c r="F819" s="1453"/>
      <c r="G819" s="1454"/>
      <c r="H819" s="825" t="s">
        <v>46</v>
      </c>
      <c r="I819" s="1455"/>
      <c r="J819" s="1455"/>
      <c r="K819" s="1456"/>
      <c r="L819" s="1456"/>
      <c r="M819" s="1456"/>
      <c r="N819" s="1456"/>
      <c r="O819" s="1456"/>
      <c r="P819" s="1456"/>
      <c r="Q819" s="1297"/>
      <c r="R819" s="1297"/>
      <c r="S819" s="1297"/>
      <c r="T819" s="1297"/>
      <c r="U819" s="1297"/>
      <c r="V819" s="1297"/>
      <c r="W819" s="1297"/>
      <c r="X819" s="1297"/>
      <c r="Y819" s="1297"/>
      <c r="Z819" s="1297"/>
    </row>
    <row r="820" spans="1:26" ht="19.5">
      <c r="A820" s="1457" t="s">
        <v>337</v>
      </c>
      <c r="B820" s="1458"/>
      <c r="C820" s="1458"/>
      <c r="D820" s="1459"/>
      <c r="E820" s="1458"/>
      <c r="F820" s="1458"/>
      <c r="G820" s="1460"/>
      <c r="H820" s="1461" t="str">
        <f ca="1">IFERROR(__xludf.DUMMYFUNCTION("IMPORTRANGE(""https://docs.google.com/spreadsheets/d/1RCyyhEJggpv17xgUrW2PS9v7yLqUjmy4YI2wzp0s_Mw/edit#gid=0"",""Sheet1!b2"")"),"(ข้อมูล ณ วันที่ 28 ก.พ. 66)")</f>
        <v>(ข้อมูล ณ วันที่ 28 ก.พ. 66)</v>
      </c>
      <c r="I820" s="1462"/>
      <c r="J820" s="1462"/>
      <c r="K820" s="1463"/>
      <c r="L820" s="1463"/>
      <c r="M820" s="1463"/>
      <c r="N820" s="1463"/>
      <c r="O820" s="1463"/>
      <c r="P820" s="1463"/>
      <c r="Q820" s="1277"/>
      <c r="R820" s="1277"/>
      <c r="S820" s="1277"/>
      <c r="T820" s="1277"/>
      <c r="U820" s="1277"/>
      <c r="V820" s="1277"/>
      <c r="W820" s="1277"/>
      <c r="X820" s="1277"/>
      <c r="Y820" s="1277"/>
      <c r="Z820" s="1277"/>
    </row>
    <row r="821" spans="1:26" ht="18.75">
      <c r="A821" s="1401"/>
      <c r="B821" s="1276" t="s">
        <v>325</v>
      </c>
      <c r="C821" s="1276"/>
      <c r="D821" s="1275"/>
      <c r="E821" s="1276"/>
      <c r="F821" s="1276"/>
      <c r="G821" s="996"/>
      <c r="H821" s="617" t="s">
        <v>12</v>
      </c>
      <c r="I821" s="863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863">
        <f ca="1">IFERROR(__xludf.DUMMYFUNCTION("IMPORTRANGE(""https://docs.google.com/spreadsheets/d/19vJNZY_5yjcGF2XGBMNZRCAIB0Kwfpjp8YEOfu-bneM/edit?usp=sharing"",""งานกองทุน!F51"")"),5384355.54)</f>
        <v>5384355.54</v>
      </c>
      <c r="K821" s="864">
        <f t="shared" ref="K821:K828" ca="1" si="336">IF(I821&gt;0,J821*100/I821,0)</f>
        <v>88.454022640723764</v>
      </c>
      <c r="L821" s="864"/>
      <c r="M821" s="864"/>
      <c r="N821" s="864"/>
      <c r="O821" s="864"/>
      <c r="P821" s="864"/>
      <c r="Q821" s="1277"/>
      <c r="R821" s="1277"/>
      <c r="S821" s="1277"/>
      <c r="T821" s="1277"/>
      <c r="U821" s="1277"/>
      <c r="V821" s="1277"/>
      <c r="W821" s="1277"/>
      <c r="X821" s="1277"/>
      <c r="Y821" s="1277"/>
      <c r="Z821" s="1277"/>
    </row>
    <row r="822" spans="1:26" ht="18.75">
      <c r="A822" s="1401"/>
      <c r="B822" s="1276"/>
      <c r="C822" s="1276"/>
      <c r="D822" s="1275"/>
      <c r="E822" s="1276"/>
      <c r="F822" s="1276"/>
      <c r="G822" s="996"/>
      <c r="H822" s="617" t="s">
        <v>35</v>
      </c>
      <c r="I822" s="863">
        <f ca="1">IFERROR(__xludf.DUMMYFUNCTION("IMPORTRANGE(""https://docs.google.com/spreadsheets/d/19vJNZY_5yjcGF2XGBMNZRCAIB0Kwfpjp8YEOfu-bneM/edit?usp=sharing"",""งานกองทุน!C51"")"),301)</f>
        <v>301</v>
      </c>
      <c r="J822" s="863">
        <f ca="1">IFERROR(__xludf.DUMMYFUNCTION("IMPORTRANGE(""https://docs.google.com/spreadsheets/d/19vJNZY_5yjcGF2XGBMNZRCAIB0Kwfpjp8YEOfu-bneM/edit?usp=sharing"",""งานกองทุน!E51"")"),257)</f>
        <v>257</v>
      </c>
      <c r="K822" s="864">
        <f t="shared" ca="1" si="336"/>
        <v>85.38205980066445</v>
      </c>
      <c r="L822" s="864"/>
      <c r="M822" s="864"/>
      <c r="N822" s="864"/>
      <c r="O822" s="864"/>
      <c r="P822" s="864"/>
      <c r="Q822" s="1277"/>
      <c r="R822" s="1277"/>
      <c r="S822" s="1277"/>
      <c r="T822" s="1277"/>
      <c r="U822" s="1277"/>
      <c r="V822" s="1277"/>
      <c r="W822" s="1277"/>
      <c r="X822" s="1277"/>
      <c r="Y822" s="1277"/>
      <c r="Z822" s="1277"/>
    </row>
    <row r="823" spans="1:26" ht="18.75">
      <c r="A823" s="1401"/>
      <c r="B823" s="1276" t="s">
        <v>326</v>
      </c>
      <c r="C823" s="1276"/>
      <c r="D823" s="1275"/>
      <c r="E823" s="1276"/>
      <c r="F823" s="1276"/>
      <c r="G823" s="996"/>
      <c r="H823" s="617" t="s">
        <v>12</v>
      </c>
      <c r="I823" s="863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863">
        <f ca="1">IFERROR(__xludf.DUMMYFUNCTION("IMPORTRANGE(""https://docs.google.com/spreadsheets/d/19vJNZY_5yjcGF2XGBMNZRCAIB0Kwfpjp8YEOfu-bneM/edit?usp=sharing"",""งานกองทุน!K51"")"),412697.3)</f>
        <v>412697.3</v>
      </c>
      <c r="K823" s="864">
        <f t="shared" ca="1" si="336"/>
        <v>9.8947322589490678</v>
      </c>
      <c r="L823" s="864"/>
      <c r="M823" s="864"/>
      <c r="N823" s="864"/>
      <c r="O823" s="864"/>
      <c r="P823" s="864"/>
      <c r="Q823" s="1277"/>
      <c r="R823" s="1277"/>
      <c r="S823" s="1277"/>
      <c r="T823" s="1277"/>
      <c r="U823" s="1277"/>
      <c r="V823" s="1277"/>
      <c r="W823" s="1277"/>
      <c r="X823" s="1277"/>
      <c r="Y823" s="1277"/>
      <c r="Z823" s="1277"/>
    </row>
    <row r="824" spans="1:26" ht="18.75">
      <c r="A824" s="1401"/>
      <c r="B824" s="1276"/>
      <c r="C824" s="1276"/>
      <c r="D824" s="1275"/>
      <c r="E824" s="1276"/>
      <c r="F824" s="1276"/>
      <c r="G824" s="996"/>
      <c r="H824" s="617" t="s">
        <v>35</v>
      </c>
      <c r="I824" s="863">
        <f ca="1">IFERROR(__xludf.DUMMYFUNCTION("IMPORTRANGE(""https://docs.google.com/spreadsheets/d/19vJNZY_5yjcGF2XGBMNZRCAIB0Kwfpjp8YEOfu-bneM/edit?usp=sharing"",""งานกองทุน!H51"")"),239)</f>
        <v>239</v>
      </c>
      <c r="J824" s="863">
        <f ca="1">IFERROR(__xludf.DUMMYFUNCTION("IMPORTRANGE(""https://docs.google.com/spreadsheets/d/19vJNZY_5yjcGF2XGBMNZRCAIB0Kwfpjp8YEOfu-bneM/edit?usp=sharing"",""งานกองทุน!J51"")"),62)</f>
        <v>62</v>
      </c>
      <c r="K824" s="864">
        <f t="shared" ca="1" si="336"/>
        <v>25.94142259414226</v>
      </c>
      <c r="L824" s="864"/>
      <c r="M824" s="864"/>
      <c r="N824" s="864"/>
      <c r="O824" s="864"/>
      <c r="P824" s="864"/>
      <c r="Q824" s="1277"/>
      <c r="R824" s="1277"/>
      <c r="S824" s="1277"/>
      <c r="T824" s="1277"/>
      <c r="U824" s="1277"/>
      <c r="V824" s="1277"/>
      <c r="W824" s="1277"/>
      <c r="X824" s="1277"/>
      <c r="Y824" s="1277"/>
      <c r="Z824" s="1277"/>
    </row>
    <row r="825" spans="1:26" ht="18.75">
      <c r="A825" s="1401"/>
      <c r="B825" s="1276" t="s">
        <v>327</v>
      </c>
      <c r="C825" s="1276"/>
      <c r="D825" s="1275"/>
      <c r="E825" s="1276"/>
      <c r="F825" s="1276"/>
      <c r="G825" s="996"/>
      <c r="H825" s="617" t="s">
        <v>12</v>
      </c>
      <c r="I825" s="863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863">
        <f ca="1">IFERROR(__xludf.DUMMYFUNCTION("IMPORTRANGE(""https://docs.google.com/spreadsheets/d/19vJNZY_5yjcGF2XGBMNZRCAIB0Kwfpjp8YEOfu-bneM/edit?usp=sharing"",""งานกองทุน!P51"")"),104652.67)</f>
        <v>104652.67</v>
      </c>
      <c r="K825" s="864">
        <f t="shared" ca="1" si="336"/>
        <v>31.198444320992053</v>
      </c>
      <c r="L825" s="864"/>
      <c r="M825" s="864"/>
      <c r="N825" s="864"/>
      <c r="O825" s="864"/>
      <c r="P825" s="864"/>
      <c r="Q825" s="1277"/>
      <c r="R825" s="1277"/>
      <c r="S825" s="1277"/>
      <c r="T825" s="1277"/>
      <c r="U825" s="1277"/>
      <c r="V825" s="1277"/>
      <c r="W825" s="1277"/>
      <c r="X825" s="1277"/>
      <c r="Y825" s="1277"/>
      <c r="Z825" s="1277"/>
    </row>
    <row r="826" spans="1:26" ht="18.75">
      <c r="A826" s="1401"/>
      <c r="B826" s="1276"/>
      <c r="C826" s="1276"/>
      <c r="D826" s="1275"/>
      <c r="E826" s="1276"/>
      <c r="F826" s="1276"/>
      <c r="G826" s="996"/>
      <c r="H826" s="617" t="s">
        <v>35</v>
      </c>
      <c r="I826" s="863">
        <f ca="1">IFERROR(__xludf.DUMMYFUNCTION("IMPORTRANGE(""https://docs.google.com/spreadsheets/d/19vJNZY_5yjcGF2XGBMNZRCAIB0Kwfpjp8YEOfu-bneM/edit?usp=sharing"",""งานกองทุน!M51"")"),164)</f>
        <v>164</v>
      </c>
      <c r="J826" s="863">
        <f ca="1">IFERROR(__xludf.DUMMYFUNCTION("IMPORTRANGE(""https://docs.google.com/spreadsheets/d/19vJNZY_5yjcGF2XGBMNZRCAIB0Kwfpjp8YEOfu-bneM/edit?usp=sharing"",""งานกองทุน!O51"")"),98)</f>
        <v>98</v>
      </c>
      <c r="K826" s="864">
        <f t="shared" ca="1" si="336"/>
        <v>59.756097560975611</v>
      </c>
      <c r="L826" s="864"/>
      <c r="M826" s="864"/>
      <c r="N826" s="864"/>
      <c r="O826" s="864"/>
      <c r="P826" s="864"/>
      <c r="Q826" s="1277"/>
      <c r="R826" s="1277"/>
      <c r="S826" s="1277"/>
      <c r="T826" s="1277"/>
      <c r="U826" s="1277"/>
      <c r="V826" s="1277"/>
      <c r="W826" s="1277"/>
      <c r="X826" s="1277"/>
      <c r="Y826" s="1277"/>
      <c r="Z826" s="1277"/>
    </row>
    <row r="827" spans="1:26" ht="18.75">
      <c r="A827" s="1401"/>
      <c r="B827" s="1276" t="s">
        <v>328</v>
      </c>
      <c r="C827" s="1276"/>
      <c r="D827" s="1275"/>
      <c r="E827" s="1276"/>
      <c r="F827" s="1276"/>
      <c r="G827" s="996"/>
      <c r="H827" s="617" t="s">
        <v>12</v>
      </c>
      <c r="I827" s="863">
        <f ca="1">IFERROR(__xludf.DUMMYFUNCTION("IMPORTRANGE(""https://docs.google.com/spreadsheets/d/19vJNZY_5yjcGF2XGBMNZRCAIB0Kwfpjp8YEOfu-bneM/edit?usp=sharing"",""งานกองทุน!S51"")"),8640000)</f>
        <v>8640000</v>
      </c>
      <c r="J827" s="863">
        <f ca="1">IFERROR(__xludf.DUMMYFUNCTION("IMPORTRANGE(""https://docs.google.com/spreadsheets/d/19vJNZY_5yjcGF2XGBMNZRCAIB0Kwfpjp8YEOfu-bneM/edit?usp=sharing"",""งานกองทุน!U51"")"),5145000)</f>
        <v>5145000</v>
      </c>
      <c r="K827" s="864">
        <f t="shared" ca="1" si="336"/>
        <v>59.548611111111114</v>
      </c>
      <c r="L827" s="864"/>
      <c r="M827" s="864"/>
      <c r="N827" s="864"/>
      <c r="O827" s="864"/>
      <c r="P827" s="864"/>
      <c r="Q827" s="1277"/>
      <c r="R827" s="1277"/>
      <c r="S827" s="1277"/>
      <c r="T827" s="1277"/>
      <c r="U827" s="1277"/>
      <c r="V827" s="1277"/>
      <c r="W827" s="1277"/>
      <c r="X827" s="1277"/>
      <c r="Y827" s="1277"/>
      <c r="Z827" s="1277"/>
    </row>
    <row r="828" spans="1:26" ht="18.75">
      <c r="A828" s="1402"/>
      <c r="B828" s="1404"/>
      <c r="C828" s="1404"/>
      <c r="D828" s="1403"/>
      <c r="E828" s="1404"/>
      <c r="F828" s="1404"/>
      <c r="G828" s="1464"/>
      <c r="H828" s="835" t="s">
        <v>35</v>
      </c>
      <c r="I828" s="1117">
        <f ca="1">IFERROR(__xludf.DUMMYFUNCTION("IMPORTRANGE(""https://docs.google.com/spreadsheets/d/19vJNZY_5yjcGF2XGBMNZRCAIB0Kwfpjp8YEOfu-bneM/edit?usp=sharing"",""งานกองทุน!R51"")"),267)</f>
        <v>267</v>
      </c>
      <c r="J828" s="1117">
        <f ca="1">IFERROR(__xludf.DUMMYFUNCTION("IMPORTRANGE(""https://docs.google.com/spreadsheets/d/19vJNZY_5yjcGF2XGBMNZRCAIB0Kwfpjp8YEOfu-bneM/edit?usp=sharing"",""งานกองทุน!T51"")"),158)</f>
        <v>158</v>
      </c>
      <c r="K828" s="1215">
        <f t="shared" ca="1" si="336"/>
        <v>59.176029962546814</v>
      </c>
      <c r="L828" s="1215"/>
      <c r="M828" s="1215"/>
      <c r="N828" s="1215"/>
      <c r="O828" s="1215"/>
      <c r="P828" s="1215"/>
      <c r="Q828" s="1277"/>
      <c r="R828" s="1277"/>
      <c r="S828" s="1277"/>
      <c r="T828" s="1277"/>
      <c r="U828" s="1277"/>
      <c r="V828" s="1277"/>
      <c r="W828" s="1277"/>
      <c r="X828" s="1277"/>
      <c r="Y828" s="1277"/>
      <c r="Z828" s="1277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2023-05-01T08:34:19Z</dcterms:modified>
</cp:coreProperties>
</file>